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nas01.itap.purdue.edu\puhome_compat\Desktop\Budget Tool\"/>
    </mc:Choice>
  </mc:AlternateContent>
  <xr:revisionPtr revIDLastSave="0" documentId="13_ncr:1_{EE54E5C7-D0C0-473B-A69B-E825B2E2C4CE}" xr6:coauthVersionLast="47" xr6:coauthVersionMax="47" xr10:uidLastSave="{00000000-0000-0000-0000-000000000000}"/>
  <workbookProtection workbookAlgorithmName="SHA-512" workbookHashValue="HHzAoAPOuymtwQCJKgUMlv+IJi6MeLo/WAHVgIMhodm6UfYSU5EdOx5wa4bpEOIPZrql3DfoxULfXsqw73U+8Q==" workbookSaltValue="PyV1dMATOWaz7beuS8Z8EA==" workbookSpinCount="100000" lockStructure="1"/>
  <bookViews>
    <workbookView xWindow="-120" yWindow="-120" windowWidth="20730" windowHeight="11160" tabRatio="906" firstSheet="2" activeTab="2" xr2:uid="{00000000-000D-0000-FFFF-FFFF00000000}"/>
  </bookViews>
  <sheets>
    <sheet name="Instructions" sheetId="14" r:id="rId1"/>
    <sheet name="BudgetSummarySimplified" sheetId="15" r:id="rId2"/>
    <sheet name="BudgetSummaryDetailed" sheetId="5" r:id="rId3"/>
    <sheet name="Personnel" sheetId="7" r:id="rId4"/>
    <sheet name="PersonCalcYr1" sheetId="2" state="hidden" r:id="rId5"/>
    <sheet name="PersonCalcYr2" sheetId="12" state="hidden" r:id="rId6"/>
    <sheet name="PersonCalcYr3" sheetId="13" state="hidden" r:id="rId7"/>
    <sheet name="OtherDirectCosts" sheetId="4" r:id="rId8"/>
    <sheet name="TravelEstimate(optional)" sheetId="8" r:id="rId9"/>
    <sheet name="F&amp;ARatesCalc" sheetId="10" state="hidden" r:id="rId10"/>
    <sheet name="SummerSalaryResource" sheetId="9" r:id="rId11"/>
    <sheet name="GradPostDocDeptPayRates" sheetId="6" r:id="rId12"/>
    <sheet name="Rate Tables" sheetId="1" state="hidden" r:id="rId13"/>
    <sheet name="Lookup Tables" sheetId="3" state="hidden" r:id="rId14"/>
    <sheet name="Sheet1" sheetId="11" state="hidden" r:id="rId15"/>
  </sheets>
  <definedNames>
    <definedName name="_xlnm._FilterDatabase" localSheetId="11" hidden="1">GradPostDocDeptPayRates!$A$8:$B$132</definedName>
    <definedName name="Oct">PersonCalcYr1!$C$4</definedName>
    <definedName name="PositionType">'Rate Tables'!$S$3:$S$8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14" i="7" l="1"/>
  <c r="U106" i="7"/>
  <c r="O115" i="7"/>
  <c r="W115" i="7" s="1"/>
  <c r="O111" i="7"/>
  <c r="W111" i="7" s="1"/>
  <c r="O107" i="7"/>
  <c r="W107" i="7" s="1"/>
  <c r="M115" i="7"/>
  <c r="U115" i="7" s="1"/>
  <c r="M114" i="7"/>
  <c r="M111" i="7"/>
  <c r="U111" i="7" s="1"/>
  <c r="M110" i="7"/>
  <c r="U110" i="7" s="1"/>
  <c r="M107" i="7"/>
  <c r="U107" i="7" s="1"/>
  <c r="M106" i="7"/>
  <c r="W100" i="7"/>
  <c r="W99" i="7"/>
  <c r="W92" i="7"/>
  <c r="W91" i="7"/>
  <c r="W84" i="7"/>
  <c r="W83" i="7"/>
  <c r="W76" i="7"/>
  <c r="W75" i="7"/>
  <c r="W68" i="7"/>
  <c r="W67" i="7"/>
  <c r="U99" i="7"/>
  <c r="U98" i="7"/>
  <c r="U92" i="7"/>
  <c r="U90" i="7"/>
  <c r="U84" i="7"/>
  <c r="U83" i="7"/>
  <c r="U76" i="7"/>
  <c r="U75" i="7"/>
  <c r="U74" i="7"/>
  <c r="U67" i="7"/>
  <c r="U66" i="7"/>
  <c r="O102" i="7"/>
  <c r="W102" i="7" s="1"/>
  <c r="O100" i="7"/>
  <c r="O99" i="7"/>
  <c r="O98" i="7"/>
  <c r="W98" i="7" s="1"/>
  <c r="O94" i="7"/>
  <c r="W94" i="7" s="1"/>
  <c r="O92" i="7"/>
  <c r="O91" i="7"/>
  <c r="O90" i="7"/>
  <c r="W90" i="7" s="1"/>
  <c r="O86" i="7"/>
  <c r="W86" i="7" s="1"/>
  <c r="O84" i="7"/>
  <c r="O83" i="7"/>
  <c r="O82" i="7"/>
  <c r="W82" i="7" s="1"/>
  <c r="O78" i="7"/>
  <c r="W78" i="7" s="1"/>
  <c r="O76" i="7"/>
  <c r="O75" i="7"/>
  <c r="O74" i="7"/>
  <c r="W74" i="7" s="1"/>
  <c r="M100" i="7"/>
  <c r="U100" i="7" s="1"/>
  <c r="M99" i="7"/>
  <c r="M98" i="7"/>
  <c r="M92" i="7"/>
  <c r="M91" i="7"/>
  <c r="U91" i="7" s="1"/>
  <c r="M90" i="7"/>
  <c r="M84" i="7"/>
  <c r="M83" i="7"/>
  <c r="M82" i="7"/>
  <c r="U82" i="7" s="1"/>
  <c r="M76" i="7"/>
  <c r="M75" i="7"/>
  <c r="M74" i="7"/>
  <c r="O70" i="7"/>
  <c r="W70" i="7" s="1"/>
  <c r="O68" i="7"/>
  <c r="O67" i="7"/>
  <c r="O66" i="7"/>
  <c r="W66" i="7" s="1"/>
  <c r="M68" i="7"/>
  <c r="U68" i="7" s="1"/>
  <c r="M67" i="7"/>
  <c r="M66" i="7"/>
  <c r="U44" i="7"/>
  <c r="O59" i="7"/>
  <c r="W59" i="7" s="1"/>
  <c r="O54" i="7"/>
  <c r="W54" i="7" s="1"/>
  <c r="O49" i="7"/>
  <c r="W49" i="7" s="1"/>
  <c r="O44" i="7"/>
  <c r="W44" i="7" s="1"/>
  <c r="O39" i="7"/>
  <c r="W39" i="7" s="1"/>
  <c r="M61" i="7"/>
  <c r="U61" i="7" s="1"/>
  <c r="M60" i="7"/>
  <c r="U60" i="7" s="1"/>
  <c r="M59" i="7"/>
  <c r="U59" i="7" s="1"/>
  <c r="M56" i="7"/>
  <c r="U56" i="7" s="1"/>
  <c r="M55" i="7"/>
  <c r="U55" i="7" s="1"/>
  <c r="M54" i="7"/>
  <c r="U54" i="7" s="1"/>
  <c r="M51" i="7"/>
  <c r="U51" i="7" s="1"/>
  <c r="M50" i="7"/>
  <c r="U50" i="7" s="1"/>
  <c r="M49" i="7"/>
  <c r="U49" i="7" s="1"/>
  <c r="M44" i="7"/>
  <c r="M46" i="7"/>
  <c r="U46" i="7" s="1"/>
  <c r="M45" i="7"/>
  <c r="U45" i="7" s="1"/>
  <c r="M41" i="7"/>
  <c r="U41" i="7" s="1"/>
  <c r="M40" i="7"/>
  <c r="U40" i="7" s="1"/>
  <c r="M39" i="7"/>
  <c r="U39" i="7" s="1"/>
  <c r="W34" i="7"/>
  <c r="W27" i="7"/>
  <c r="W15" i="7"/>
  <c r="O34" i="7"/>
  <c r="O33" i="7"/>
  <c r="W33" i="7" s="1"/>
  <c r="O28" i="7"/>
  <c r="W28" i="7" s="1"/>
  <c r="O27" i="7"/>
  <c r="O22" i="7"/>
  <c r="W22" i="7" s="1"/>
  <c r="O21" i="7"/>
  <c r="W21" i="7" s="1"/>
  <c r="O16" i="7"/>
  <c r="W16" i="7" s="1"/>
  <c r="O15" i="7"/>
  <c r="O10" i="7"/>
  <c r="W10" i="7" s="1"/>
  <c r="O9" i="7"/>
  <c r="W9" i="7" s="1"/>
  <c r="M35" i="7"/>
  <c r="U35" i="7" s="1"/>
  <c r="M34" i="7"/>
  <c r="U34" i="7" s="1"/>
  <c r="M33" i="7"/>
  <c r="U33" i="7" s="1"/>
  <c r="M29" i="7"/>
  <c r="U29" i="7" s="1"/>
  <c r="M28" i="7"/>
  <c r="U28" i="7" s="1"/>
  <c r="M27" i="7"/>
  <c r="U27" i="7" s="1"/>
  <c r="M23" i="7"/>
  <c r="U23" i="7" s="1"/>
  <c r="M22" i="7"/>
  <c r="U22" i="7" s="1"/>
  <c r="M21" i="7"/>
  <c r="U21" i="7" s="1"/>
  <c r="M17" i="7"/>
  <c r="U17" i="7" s="1"/>
  <c r="M16" i="7"/>
  <c r="U16" i="7" s="1"/>
  <c r="M15" i="7"/>
  <c r="U15" i="7" s="1"/>
  <c r="M11" i="7"/>
  <c r="U11" i="7" s="1"/>
  <c r="M10" i="7"/>
  <c r="U10" i="7" s="1"/>
  <c r="M9" i="7"/>
  <c r="U9" i="7" s="1"/>
  <c r="U75" i="4"/>
  <c r="W67" i="4"/>
  <c r="U67" i="4"/>
  <c r="V62" i="4"/>
  <c r="W57" i="4"/>
  <c r="U57" i="4"/>
  <c r="N52" i="4"/>
  <c r="W52" i="4" s="1"/>
  <c r="W51" i="4"/>
  <c r="V53" i="4"/>
  <c r="V52" i="4"/>
  <c r="V49" i="4"/>
  <c r="U53" i="4"/>
  <c r="U50" i="4"/>
  <c r="U49" i="4"/>
  <c r="W43" i="4"/>
  <c r="V45" i="4"/>
  <c r="U45" i="4"/>
  <c r="U44" i="4"/>
  <c r="W38" i="4"/>
  <c r="W37" i="4"/>
  <c r="V37" i="4"/>
  <c r="U39" i="4"/>
  <c r="W33" i="4"/>
  <c r="W32" i="4"/>
  <c r="V33" i="4"/>
  <c r="V32" i="4"/>
  <c r="W25" i="4"/>
  <c r="W24" i="4"/>
  <c r="V25" i="4"/>
  <c r="V24" i="4"/>
  <c r="U25" i="4"/>
  <c r="U24" i="4"/>
  <c r="W17" i="4"/>
  <c r="W16" i="4"/>
  <c r="V17" i="4"/>
  <c r="V16" i="4"/>
  <c r="U17" i="4"/>
  <c r="U16" i="4"/>
  <c r="W10" i="4"/>
  <c r="W9" i="4"/>
  <c r="V9" i="4"/>
  <c r="N94" i="4"/>
  <c r="W94" i="4" s="1"/>
  <c r="N93" i="4"/>
  <c r="W93" i="4" s="1"/>
  <c r="N92" i="4"/>
  <c r="W92" i="4" s="1"/>
  <c r="N91" i="4"/>
  <c r="W91" i="4" s="1"/>
  <c r="M94" i="4"/>
  <c r="V94" i="4" s="1"/>
  <c r="M93" i="4"/>
  <c r="V93" i="4" s="1"/>
  <c r="M92" i="4"/>
  <c r="V92" i="4" s="1"/>
  <c r="M91" i="4"/>
  <c r="V91" i="4" s="1"/>
  <c r="L94" i="4"/>
  <c r="U94" i="4" s="1"/>
  <c r="L93" i="4"/>
  <c r="U93" i="4" s="1"/>
  <c r="L92" i="4"/>
  <c r="U92" i="4" s="1"/>
  <c r="L91" i="4"/>
  <c r="U91" i="4" s="1"/>
  <c r="N87" i="4"/>
  <c r="W87" i="4" s="1"/>
  <c r="N86" i="4"/>
  <c r="W86" i="4" s="1"/>
  <c r="N85" i="4"/>
  <c r="W85" i="4" s="1"/>
  <c r="N84" i="4"/>
  <c r="W84" i="4" s="1"/>
  <c r="M87" i="4"/>
  <c r="V87" i="4" s="1"/>
  <c r="M86" i="4"/>
  <c r="V86" i="4" s="1"/>
  <c r="M85" i="4"/>
  <c r="V85" i="4" s="1"/>
  <c r="M84" i="4"/>
  <c r="V84" i="4" s="1"/>
  <c r="L87" i="4"/>
  <c r="U87" i="4" s="1"/>
  <c r="L86" i="4"/>
  <c r="U86" i="4" s="1"/>
  <c r="L85" i="4"/>
  <c r="U85" i="4" s="1"/>
  <c r="L84" i="4"/>
  <c r="U84" i="4" s="1"/>
  <c r="O78" i="4"/>
  <c r="X78" i="4" s="1"/>
  <c r="O75" i="4"/>
  <c r="X75" i="4" s="1"/>
  <c r="O72" i="4"/>
  <c r="X72" i="4" s="1"/>
  <c r="L79" i="4"/>
  <c r="U79" i="4" s="1"/>
  <c r="L78" i="4"/>
  <c r="U78" i="4" s="1"/>
  <c r="L76" i="4"/>
  <c r="U76" i="4" s="1"/>
  <c r="L75" i="4"/>
  <c r="L73" i="4"/>
  <c r="U73" i="4" s="1"/>
  <c r="L72" i="4"/>
  <c r="U72" i="4" s="1"/>
  <c r="N68" i="4"/>
  <c r="W68" i="4" s="1"/>
  <c r="N67" i="4"/>
  <c r="M68" i="4"/>
  <c r="V68" i="4" s="1"/>
  <c r="M67" i="4"/>
  <c r="V67" i="4" s="1"/>
  <c r="L68" i="4"/>
  <c r="U68" i="4" s="1"/>
  <c r="L67" i="4"/>
  <c r="N63" i="4"/>
  <c r="W63" i="4" s="1"/>
  <c r="N62" i="4"/>
  <c r="W62" i="4" s="1"/>
  <c r="M63" i="4"/>
  <c r="V63" i="4" s="1"/>
  <c r="M62" i="4"/>
  <c r="L63" i="4"/>
  <c r="U63" i="4" s="1"/>
  <c r="L62" i="4"/>
  <c r="U62" i="4" s="1"/>
  <c r="N58" i="4"/>
  <c r="W58" i="4" s="1"/>
  <c r="N57" i="4"/>
  <c r="M58" i="4"/>
  <c r="V58" i="4" s="1"/>
  <c r="M57" i="4"/>
  <c r="V57" i="4" s="1"/>
  <c r="L58" i="4"/>
  <c r="U58" i="4" s="1"/>
  <c r="L57" i="4"/>
  <c r="N53" i="4"/>
  <c r="W53" i="4" s="1"/>
  <c r="N51" i="4"/>
  <c r="N50" i="4"/>
  <c r="W50" i="4" s="1"/>
  <c r="N49" i="4"/>
  <c r="W49" i="4" s="1"/>
  <c r="M53" i="4"/>
  <c r="M52" i="4"/>
  <c r="M51" i="4"/>
  <c r="V51" i="4" s="1"/>
  <c r="M50" i="4"/>
  <c r="V50" i="4" s="1"/>
  <c r="M49" i="4"/>
  <c r="L53" i="4"/>
  <c r="L52" i="4"/>
  <c r="U52" i="4" s="1"/>
  <c r="L51" i="4"/>
  <c r="U51" i="4" s="1"/>
  <c r="L50" i="4"/>
  <c r="L49" i="4"/>
  <c r="N45" i="4"/>
  <c r="W45" i="4" s="1"/>
  <c r="N44" i="4"/>
  <c r="W44" i="4" s="1"/>
  <c r="N43" i="4"/>
  <c r="M45" i="4"/>
  <c r="M44" i="4"/>
  <c r="V44" i="4" s="1"/>
  <c r="M43" i="4"/>
  <c r="V43" i="4" s="1"/>
  <c r="L45" i="4"/>
  <c r="L44" i="4"/>
  <c r="L43" i="4"/>
  <c r="U43" i="4" s="1"/>
  <c r="N39" i="4"/>
  <c r="W39" i="4" s="1"/>
  <c r="N38" i="4"/>
  <c r="N37" i="4"/>
  <c r="M39" i="4"/>
  <c r="V39" i="4" s="1"/>
  <c r="M38" i="4"/>
  <c r="V38" i="4" s="1"/>
  <c r="M37" i="4"/>
  <c r="L39" i="4"/>
  <c r="L38" i="4"/>
  <c r="U38" i="4" s="1"/>
  <c r="L37" i="4"/>
  <c r="U37" i="4" s="1"/>
  <c r="N33" i="4"/>
  <c r="N32" i="4"/>
  <c r="N31" i="4"/>
  <c r="W31" i="4" s="1"/>
  <c r="N30" i="4"/>
  <c r="W30" i="4" s="1"/>
  <c r="M33" i="4"/>
  <c r="M32" i="4"/>
  <c r="M31" i="4"/>
  <c r="V31" i="4" s="1"/>
  <c r="M30" i="4"/>
  <c r="V30" i="4" s="1"/>
  <c r="N25" i="4"/>
  <c r="N24" i="4"/>
  <c r="N23" i="4"/>
  <c r="W23" i="4" s="1"/>
  <c r="N22" i="4"/>
  <c r="W22" i="4" s="1"/>
  <c r="M25" i="4"/>
  <c r="M24" i="4"/>
  <c r="M23" i="4"/>
  <c r="V23" i="4" s="1"/>
  <c r="M22" i="4"/>
  <c r="V22" i="4" s="1"/>
  <c r="L25" i="4"/>
  <c r="L24" i="4"/>
  <c r="L23" i="4"/>
  <c r="U23" i="4" s="1"/>
  <c r="L22" i="4"/>
  <c r="U22" i="4" s="1"/>
  <c r="N17" i="4"/>
  <c r="N16" i="4"/>
  <c r="N15" i="4"/>
  <c r="W15" i="4" s="1"/>
  <c r="N14" i="4"/>
  <c r="W14" i="4" s="1"/>
  <c r="M17" i="4"/>
  <c r="M16" i="4"/>
  <c r="M15" i="4"/>
  <c r="V15" i="4" s="1"/>
  <c r="M14" i="4"/>
  <c r="V14" i="4" s="1"/>
  <c r="L17" i="4"/>
  <c r="L16" i="4"/>
  <c r="L15" i="4"/>
  <c r="U15" i="4" s="1"/>
  <c r="L14" i="4"/>
  <c r="U14" i="4" s="1"/>
  <c r="N10" i="4"/>
  <c r="N9" i="4"/>
  <c r="N8" i="4"/>
  <c r="W8" i="4" s="1"/>
  <c r="M10" i="4"/>
  <c r="V10" i="4" s="1"/>
  <c r="M9" i="4"/>
  <c r="M8" i="4"/>
  <c r="V8" i="4" s="1"/>
  <c r="L10" i="4"/>
  <c r="U10" i="4" s="1"/>
  <c r="L9" i="4"/>
  <c r="U9" i="4" s="1"/>
  <c r="L8" i="4"/>
  <c r="U8" i="4" s="1"/>
  <c r="AD51" i="8"/>
  <c r="AB48" i="8"/>
  <c r="Y48" i="8"/>
  <c r="W40" i="8"/>
  <c r="S52" i="8"/>
  <c r="AD52" i="8" s="1"/>
  <c r="S51" i="8"/>
  <c r="S50" i="8"/>
  <c r="AD50" i="8" s="1"/>
  <c r="S49" i="8"/>
  <c r="AD49" i="8" s="1"/>
  <c r="S48" i="8"/>
  <c r="AD48" i="8" s="1"/>
  <c r="Q48" i="8"/>
  <c r="P48" i="8"/>
  <c r="AA48" i="8" s="1"/>
  <c r="O48" i="8"/>
  <c r="Z48" i="8" s="1"/>
  <c r="N52" i="8"/>
  <c r="Y52" i="8" s="1"/>
  <c r="N48" i="8"/>
  <c r="M48" i="8"/>
  <c r="X48" i="8" s="1"/>
  <c r="L48" i="8"/>
  <c r="W48" i="8" s="1"/>
  <c r="AD44" i="8"/>
  <c r="AD41" i="8"/>
  <c r="AD40" i="8"/>
  <c r="Z40" i="8"/>
  <c r="Y44" i="8"/>
  <c r="S43" i="8"/>
  <c r="AD43" i="8" s="1"/>
  <c r="S42" i="8"/>
  <c r="AD42" i="8" s="1"/>
  <c r="S44" i="8"/>
  <c r="S41" i="8"/>
  <c r="S40" i="8"/>
  <c r="Q40" i="8"/>
  <c r="AB40" i="8" s="1"/>
  <c r="P40" i="8"/>
  <c r="AA40" i="8" s="1"/>
  <c r="O40" i="8"/>
  <c r="N44" i="8"/>
  <c r="N40" i="8"/>
  <c r="Y40" i="8" s="1"/>
  <c r="M40" i="8"/>
  <c r="X40" i="8" s="1"/>
  <c r="L40" i="8"/>
  <c r="S32" i="8"/>
  <c r="AD32" i="8" s="1"/>
  <c r="S31" i="8"/>
  <c r="AD31" i="8" s="1"/>
  <c r="S30" i="8"/>
  <c r="AD30" i="8" s="1"/>
  <c r="S29" i="8"/>
  <c r="AD29" i="8" s="1"/>
  <c r="S28" i="8"/>
  <c r="AD28" i="8" s="1"/>
  <c r="Q28" i="8"/>
  <c r="AB28" i="8" s="1"/>
  <c r="P28" i="8"/>
  <c r="AA28" i="8" s="1"/>
  <c r="O28" i="8"/>
  <c r="Z28" i="8" s="1"/>
  <c r="N32" i="8"/>
  <c r="Y32" i="8" s="1"/>
  <c r="N28" i="8"/>
  <c r="Y28" i="8" s="1"/>
  <c r="M28" i="8"/>
  <c r="X28" i="8" s="1"/>
  <c r="L28" i="8"/>
  <c r="W28" i="8" s="1"/>
  <c r="S24" i="8"/>
  <c r="AD24" i="8" s="1"/>
  <c r="S23" i="8"/>
  <c r="AD23" i="8" s="1"/>
  <c r="S22" i="8"/>
  <c r="AD22" i="8" s="1"/>
  <c r="S21" i="8"/>
  <c r="AD21" i="8" s="1"/>
  <c r="S20" i="8"/>
  <c r="AD20" i="8" s="1"/>
  <c r="Q20" i="8"/>
  <c r="AB20" i="8" s="1"/>
  <c r="P20" i="8"/>
  <c r="AA20" i="8" s="1"/>
  <c r="O20" i="8"/>
  <c r="Z20" i="8" s="1"/>
  <c r="N24" i="8"/>
  <c r="Y24" i="8" s="1"/>
  <c r="N20" i="8"/>
  <c r="Y20" i="8" s="1"/>
  <c r="M20" i="8"/>
  <c r="X20" i="8" s="1"/>
  <c r="L20" i="8"/>
  <c r="W20" i="8" s="1"/>
  <c r="AD16" i="8"/>
  <c r="AD15" i="8"/>
  <c r="S16" i="8"/>
  <c r="Y12" i="8"/>
  <c r="W12" i="8"/>
  <c r="S15" i="8"/>
  <c r="S14" i="8"/>
  <c r="AD14" i="8" s="1"/>
  <c r="S13" i="8"/>
  <c r="AD13" i="8" s="1"/>
  <c r="S12" i="8"/>
  <c r="AD12" i="8" s="1"/>
  <c r="Q12" i="8"/>
  <c r="AB12" i="8" s="1"/>
  <c r="P12" i="8"/>
  <c r="AA12" i="8" s="1"/>
  <c r="O12" i="8"/>
  <c r="Z12" i="8" s="1"/>
  <c r="N16" i="8"/>
  <c r="Y16" i="8" s="1"/>
  <c r="N12" i="8"/>
  <c r="M12" i="8"/>
  <c r="X12" i="8" s="1"/>
  <c r="L12" i="8"/>
  <c r="J27" i="15" l="1"/>
  <c r="G27" i="15"/>
  <c r="G29" i="15" s="1"/>
  <c r="E22" i="5"/>
  <c r="C20" i="15"/>
  <c r="C21" i="15"/>
  <c r="C22" i="15"/>
  <c r="C23" i="15"/>
  <c r="C24" i="15"/>
  <c r="B15" i="15"/>
  <c r="A4" i="15"/>
  <c r="A3" i="15"/>
  <c r="Y81" i="4"/>
  <c r="AD44" i="5" s="1"/>
  <c r="L42" i="15" s="1"/>
  <c r="P81" i="4"/>
  <c r="S44" i="5" s="1"/>
  <c r="I42" i="15" s="1"/>
  <c r="AB29" i="5"/>
  <c r="AB28" i="5"/>
  <c r="AB27" i="5"/>
  <c r="AB26" i="5"/>
  <c r="AB25" i="5"/>
  <c r="AB24" i="5"/>
  <c r="AB23" i="5"/>
  <c r="AB22" i="5"/>
  <c r="AB16" i="5"/>
  <c r="Y29" i="5"/>
  <c r="Y28" i="5"/>
  <c r="Y27" i="5"/>
  <c r="AB15" i="5"/>
  <c r="AB14" i="5"/>
  <c r="AB13" i="5"/>
  <c r="AB12" i="5"/>
  <c r="AA26" i="5"/>
  <c r="AA25" i="5"/>
  <c r="AA24" i="5"/>
  <c r="AA23" i="5"/>
  <c r="AA22" i="5"/>
  <c r="AA16" i="5"/>
  <c r="K13" i="15" s="1"/>
  <c r="AA15" i="5"/>
  <c r="K12" i="15" s="1"/>
  <c r="AA14" i="5"/>
  <c r="AA13" i="5"/>
  <c r="AA12" i="5"/>
  <c r="Z26" i="5"/>
  <c r="Z25" i="5"/>
  <c r="Z24" i="5"/>
  <c r="Z23" i="5"/>
  <c r="Z22" i="5"/>
  <c r="Z21" i="5"/>
  <c r="K18" i="15" s="1"/>
  <c r="Z20" i="5"/>
  <c r="K17" i="15" s="1"/>
  <c r="Z19" i="5"/>
  <c r="K16" i="15" s="1"/>
  <c r="Z18" i="5"/>
  <c r="K15" i="15" s="1"/>
  <c r="Z17" i="5"/>
  <c r="K14" i="15" s="1"/>
  <c r="F29" i="5"/>
  <c r="F28" i="5"/>
  <c r="F27" i="5"/>
  <c r="Q29" i="5"/>
  <c r="Q28" i="5"/>
  <c r="Q27" i="5"/>
  <c r="Q26" i="5"/>
  <c r="Q25" i="5"/>
  <c r="Q24" i="5"/>
  <c r="Q23" i="5"/>
  <c r="Q22" i="5"/>
  <c r="Q16" i="5"/>
  <c r="Q15" i="5"/>
  <c r="Q14" i="5"/>
  <c r="Q13" i="5"/>
  <c r="Q12" i="5"/>
  <c r="P26" i="5"/>
  <c r="P25" i="5"/>
  <c r="P24" i="5"/>
  <c r="P23" i="5"/>
  <c r="P22" i="5"/>
  <c r="P16" i="5"/>
  <c r="P15" i="5"/>
  <c r="H12" i="15" s="1"/>
  <c r="P14" i="5"/>
  <c r="P13" i="5"/>
  <c r="P12" i="5"/>
  <c r="O26" i="5"/>
  <c r="O25" i="5"/>
  <c r="O24" i="5"/>
  <c r="O23" i="5"/>
  <c r="O22" i="5"/>
  <c r="O21" i="5"/>
  <c r="H18" i="15" s="1"/>
  <c r="O20" i="5"/>
  <c r="H17" i="15" s="1"/>
  <c r="O19" i="5"/>
  <c r="H16" i="15" s="1"/>
  <c r="O18" i="5"/>
  <c r="H15" i="15" s="1"/>
  <c r="O17" i="5"/>
  <c r="H14" i="15" s="1"/>
  <c r="N29" i="5"/>
  <c r="N28" i="5"/>
  <c r="N27" i="5"/>
  <c r="C29" i="5"/>
  <c r="C28" i="5"/>
  <c r="C27" i="5"/>
  <c r="F26" i="5"/>
  <c r="F25" i="5"/>
  <c r="F24" i="5"/>
  <c r="F23" i="5"/>
  <c r="F22" i="5"/>
  <c r="E26" i="5"/>
  <c r="E25" i="5"/>
  <c r="E24" i="5"/>
  <c r="E23" i="5"/>
  <c r="D26" i="5"/>
  <c r="D25" i="5"/>
  <c r="D24" i="5"/>
  <c r="D23" i="5"/>
  <c r="D22" i="5"/>
  <c r="D21" i="5"/>
  <c r="E18" i="15" s="1"/>
  <c r="D20" i="5"/>
  <c r="E17" i="15" s="1"/>
  <c r="D19" i="5"/>
  <c r="E16" i="15" s="1"/>
  <c r="D18" i="5"/>
  <c r="E15" i="15" s="1"/>
  <c r="D17" i="5"/>
  <c r="E14" i="15" s="1"/>
  <c r="F16" i="5"/>
  <c r="E16" i="5"/>
  <c r="E13" i="15" s="1"/>
  <c r="F15" i="5"/>
  <c r="E15" i="5"/>
  <c r="F14" i="5"/>
  <c r="E14" i="5"/>
  <c r="E11" i="15" s="1"/>
  <c r="F13" i="5"/>
  <c r="E13" i="5"/>
  <c r="F12" i="5"/>
  <c r="E12" i="5"/>
  <c r="E9" i="15" s="1"/>
  <c r="C21" i="5"/>
  <c r="C18" i="15" s="1"/>
  <c r="C20" i="5"/>
  <c r="C17" i="15" s="1"/>
  <c r="C19" i="5"/>
  <c r="C16" i="15" s="1"/>
  <c r="C18" i="5"/>
  <c r="C15" i="15" s="1"/>
  <c r="C17" i="5"/>
  <c r="C14" i="15" s="1"/>
  <c r="C16" i="5"/>
  <c r="C13" i="15" s="1"/>
  <c r="C15" i="5"/>
  <c r="C12" i="15" s="1"/>
  <c r="C14" i="5"/>
  <c r="C11" i="15" s="1"/>
  <c r="C13" i="5"/>
  <c r="C10" i="15" s="1"/>
  <c r="C12" i="5"/>
  <c r="C9" i="15" s="1"/>
  <c r="B26" i="5"/>
  <c r="B24" i="15" s="1"/>
  <c r="B25" i="5"/>
  <c r="B23" i="15" s="1"/>
  <c r="B24" i="5"/>
  <c r="B22" i="15" s="1"/>
  <c r="B23" i="5"/>
  <c r="B21" i="15" s="1"/>
  <c r="B22" i="5"/>
  <c r="B20" i="15" s="1"/>
  <c r="B21" i="5"/>
  <c r="B18" i="15" s="1"/>
  <c r="B20" i="5"/>
  <c r="B17" i="15" s="1"/>
  <c r="B19" i="5"/>
  <c r="B16" i="15" s="1"/>
  <c r="B18" i="5"/>
  <c r="B17" i="5"/>
  <c r="B14" i="15" s="1"/>
  <c r="B16" i="5"/>
  <c r="B13" i="15" s="1"/>
  <c r="B15" i="5"/>
  <c r="B12" i="15" s="1"/>
  <c r="B14" i="5"/>
  <c r="B11" i="15" s="1"/>
  <c r="B13" i="5"/>
  <c r="B10" i="15" s="1"/>
  <c r="B12" i="5"/>
  <c r="B9" i="15" s="1"/>
  <c r="K9" i="15" l="1"/>
  <c r="K11" i="15"/>
  <c r="E10" i="15"/>
  <c r="E12" i="15"/>
  <c r="E26" i="15"/>
  <c r="H10" i="15"/>
  <c r="K10" i="15"/>
  <c r="H11" i="15"/>
  <c r="H9" i="15"/>
  <c r="H13" i="15"/>
  <c r="H26" i="15"/>
  <c r="AJ27" i="5"/>
  <c r="B26" i="15"/>
  <c r="N12" i="5"/>
  <c r="AJ29" i="5"/>
  <c r="AJ28" i="5"/>
  <c r="BF460" i="13"/>
  <c r="BF459" i="13"/>
  <c r="BF458" i="13"/>
  <c r="BF457" i="13"/>
  <c r="AU460" i="13"/>
  <c r="AJ460" i="13"/>
  <c r="Y460" i="13"/>
  <c r="M460" i="13"/>
  <c r="BL430" i="13"/>
  <c r="BK434" i="13" s="1"/>
  <c r="BG443" i="13"/>
  <c r="BG442" i="13"/>
  <c r="BG441" i="13"/>
  <c r="BG440" i="13"/>
  <c r="AV443" i="13"/>
  <c r="AK443" i="13"/>
  <c r="Z443" i="13"/>
  <c r="N443" i="13"/>
  <c r="BF426" i="13"/>
  <c r="BF425" i="13"/>
  <c r="BF424" i="13"/>
  <c r="BF423" i="13"/>
  <c r="BE426" i="13"/>
  <c r="BE425" i="13"/>
  <c r="BE424" i="13"/>
  <c r="BE423" i="13"/>
  <c r="AU426" i="13"/>
  <c r="AT426" i="13"/>
  <c r="AJ426" i="13"/>
  <c r="AI426" i="13"/>
  <c r="Y426" i="13"/>
  <c r="X426" i="13"/>
  <c r="M426" i="13"/>
  <c r="M423" i="13"/>
  <c r="L426" i="13"/>
  <c r="BF408" i="13"/>
  <c r="BF407" i="13"/>
  <c r="BF406" i="13"/>
  <c r="BF405" i="13"/>
  <c r="AU408" i="13"/>
  <c r="AJ408" i="13"/>
  <c r="Y408" i="13"/>
  <c r="M408" i="13"/>
  <c r="BG391" i="13"/>
  <c r="BG390" i="13"/>
  <c r="BG389" i="13"/>
  <c r="BG388" i="13"/>
  <c r="AV391" i="13"/>
  <c r="AK391" i="13"/>
  <c r="Z391" i="13"/>
  <c r="N391" i="13"/>
  <c r="BL395" i="13"/>
  <c r="E397" i="13" s="1"/>
  <c r="BL378" i="13"/>
  <c r="BK380" i="13" s="1"/>
  <c r="BF374" i="13"/>
  <c r="BF373" i="13"/>
  <c r="BF372" i="13"/>
  <c r="BF371" i="13"/>
  <c r="BE374" i="13"/>
  <c r="BE373" i="13"/>
  <c r="BE372" i="13"/>
  <c r="BE371" i="13"/>
  <c r="AU374" i="13"/>
  <c r="AT374" i="13"/>
  <c r="AJ374" i="13"/>
  <c r="AJ371" i="13"/>
  <c r="AI374" i="13"/>
  <c r="Y374" i="13"/>
  <c r="Y371" i="13"/>
  <c r="X374" i="13"/>
  <c r="M374" i="13"/>
  <c r="L374" i="13"/>
  <c r="M267" i="13"/>
  <c r="BF356" i="13"/>
  <c r="BF355" i="13"/>
  <c r="BF354" i="13"/>
  <c r="BF353" i="13"/>
  <c r="AU356" i="13"/>
  <c r="AJ356" i="13"/>
  <c r="Y356" i="13"/>
  <c r="M356" i="13"/>
  <c r="M353" i="13"/>
  <c r="BG339" i="13"/>
  <c r="BG338" i="13"/>
  <c r="BG337" i="13"/>
  <c r="BG336" i="13"/>
  <c r="AV339" i="13"/>
  <c r="AK339" i="13"/>
  <c r="Z339" i="13"/>
  <c r="N339" i="13"/>
  <c r="BL309" i="13"/>
  <c r="E311" i="13" s="1"/>
  <c r="BF322" i="13"/>
  <c r="BF321" i="13"/>
  <c r="BF320" i="13"/>
  <c r="BF319" i="13"/>
  <c r="BE322" i="13"/>
  <c r="BE321" i="13"/>
  <c r="BE320" i="13"/>
  <c r="BE319" i="13"/>
  <c r="AU322" i="13"/>
  <c r="AU319" i="13"/>
  <c r="AT322" i="13"/>
  <c r="AJ322" i="13"/>
  <c r="AI322" i="13"/>
  <c r="Y322" i="13"/>
  <c r="X322" i="13"/>
  <c r="M322" i="13"/>
  <c r="L322" i="13"/>
  <c r="BF304" i="13"/>
  <c r="BF303" i="13"/>
  <c r="BF302" i="13"/>
  <c r="BF301" i="13"/>
  <c r="AU304" i="13"/>
  <c r="AJ304" i="13"/>
  <c r="Y304" i="13"/>
  <c r="M304" i="13"/>
  <c r="M301" i="13"/>
  <c r="BG287" i="13"/>
  <c r="BG286" i="13"/>
  <c r="BG285" i="13"/>
  <c r="BG284" i="13"/>
  <c r="AV287" i="13"/>
  <c r="AV284" i="13"/>
  <c r="AK287" i="13"/>
  <c r="Z287" i="13"/>
  <c r="N287" i="13"/>
  <c r="BL274" i="13"/>
  <c r="BK276" i="13" s="1"/>
  <c r="BC270" i="13" s="1"/>
  <c r="BF270" i="13"/>
  <c r="BF269" i="13"/>
  <c r="BF268" i="13"/>
  <c r="BF267" i="13"/>
  <c r="BE270" i="13"/>
  <c r="BE269" i="13"/>
  <c r="BE268" i="13"/>
  <c r="BE267" i="13"/>
  <c r="AU270" i="13"/>
  <c r="AT270" i="13"/>
  <c r="AJ270" i="13"/>
  <c r="AJ267" i="13"/>
  <c r="AI270" i="13"/>
  <c r="Y270" i="13"/>
  <c r="X270" i="13"/>
  <c r="M270" i="13"/>
  <c r="L270" i="13"/>
  <c r="BL447" i="13"/>
  <c r="E455" i="13" s="1"/>
  <c r="BL413" i="13"/>
  <c r="BL423" i="13" s="1"/>
  <c r="BL424" i="13" s="1"/>
  <c r="BL361" i="13"/>
  <c r="E369" i="13" s="1"/>
  <c r="BL343" i="13"/>
  <c r="E351" i="13" s="1"/>
  <c r="BL326" i="13"/>
  <c r="BL331" i="13" s="1"/>
  <c r="BL332" i="13" s="1"/>
  <c r="BL291" i="13"/>
  <c r="E299" i="13" s="1"/>
  <c r="BL257" i="13"/>
  <c r="E265" i="13" s="1"/>
  <c r="BL475" i="13"/>
  <c r="BL471" i="13"/>
  <c r="BL467" i="13"/>
  <c r="B476" i="13"/>
  <c r="A476" i="13"/>
  <c r="A472" i="13"/>
  <c r="B472" i="13"/>
  <c r="B468" i="13"/>
  <c r="A468" i="13"/>
  <c r="A463" i="13"/>
  <c r="B463" i="13"/>
  <c r="B461" i="13"/>
  <c r="A409" i="13"/>
  <c r="B409" i="13"/>
  <c r="B407" i="13"/>
  <c r="A357" i="13"/>
  <c r="B357" i="13"/>
  <c r="B355" i="13"/>
  <c r="A305" i="13"/>
  <c r="B305" i="13"/>
  <c r="B303" i="13"/>
  <c r="BF251" i="13"/>
  <c r="BF250" i="13"/>
  <c r="BF249" i="13"/>
  <c r="BF248" i="13"/>
  <c r="AU251" i="13"/>
  <c r="AU248" i="13"/>
  <c r="AJ251" i="13"/>
  <c r="Y251" i="13"/>
  <c r="M251" i="13"/>
  <c r="BL221" i="13"/>
  <c r="BL226" i="13" s="1"/>
  <c r="BL227" i="13" s="1"/>
  <c r="BG234" i="13"/>
  <c r="BG233" i="13"/>
  <c r="BG232" i="13"/>
  <c r="BG231" i="13"/>
  <c r="AV234" i="13"/>
  <c r="AK234" i="13"/>
  <c r="Z234" i="13"/>
  <c r="N234" i="13"/>
  <c r="BL204" i="13"/>
  <c r="BL214" i="13" s="1"/>
  <c r="BL215" i="13" s="1"/>
  <c r="BF217" i="13"/>
  <c r="BF216" i="13"/>
  <c r="BF215" i="13"/>
  <c r="BF214" i="13"/>
  <c r="BE217" i="13"/>
  <c r="BE216" i="13"/>
  <c r="BE215" i="13"/>
  <c r="BE214" i="13"/>
  <c r="AU217" i="13"/>
  <c r="AT217" i="13"/>
  <c r="AJ217" i="13"/>
  <c r="AI217" i="13"/>
  <c r="Y217" i="13"/>
  <c r="X217" i="13"/>
  <c r="M217" i="13"/>
  <c r="L217" i="13"/>
  <c r="L214" i="13"/>
  <c r="BK382" i="13" l="1"/>
  <c r="BL435" i="13"/>
  <c r="BL436" i="13" s="1"/>
  <c r="E399" i="13"/>
  <c r="BK432" i="13"/>
  <c r="AS426" i="13" s="1"/>
  <c r="E449" i="13"/>
  <c r="BL453" i="13"/>
  <c r="BL456" i="13" s="1"/>
  <c r="H407" i="13"/>
  <c r="BC374" i="13"/>
  <c r="V374" i="13"/>
  <c r="BD373" i="13"/>
  <c r="BC372" i="13"/>
  <c r="AG374" i="13"/>
  <c r="W374" i="13"/>
  <c r="K374" i="13"/>
  <c r="BL383" i="13"/>
  <c r="BL384" i="13" s="1"/>
  <c r="E401" i="13"/>
  <c r="E403" i="13"/>
  <c r="BL401" i="13"/>
  <c r="BL404" i="13" s="1"/>
  <c r="BL349" i="13"/>
  <c r="BL352" i="13" s="1"/>
  <c r="E345" i="13"/>
  <c r="BK278" i="13"/>
  <c r="BL279" i="13"/>
  <c r="BL280" i="13" s="1"/>
  <c r="E415" i="13"/>
  <c r="E421" i="13"/>
  <c r="BL371" i="13"/>
  <c r="BL372" i="13" s="1"/>
  <c r="BL319" i="13"/>
  <c r="BL320" i="13" s="1"/>
  <c r="E317" i="13"/>
  <c r="BL267" i="13"/>
  <c r="BL268" i="13" s="1"/>
  <c r="BL297" i="13"/>
  <c r="BL300" i="13" s="1"/>
  <c r="E293" i="13"/>
  <c r="AR374" i="13"/>
  <c r="BD372" i="13"/>
  <c r="AS374" i="13"/>
  <c r="BD374" i="13"/>
  <c r="AH374" i="13"/>
  <c r="BC371" i="13"/>
  <c r="BC373" i="13"/>
  <c r="J374" i="13"/>
  <c r="J371" i="13"/>
  <c r="BD371" i="13"/>
  <c r="H303" i="13"/>
  <c r="BD267" i="13"/>
  <c r="BD269" i="13"/>
  <c r="AR268" i="13"/>
  <c r="V267" i="13"/>
  <c r="V270" i="13"/>
  <c r="AG270" i="13"/>
  <c r="BD270" i="13"/>
  <c r="W270" i="13"/>
  <c r="BD268" i="13"/>
  <c r="AH270" i="13"/>
  <c r="AS267" i="13"/>
  <c r="AR270" i="13"/>
  <c r="BC267" i="13"/>
  <c r="BC268" i="13"/>
  <c r="AR269" i="13"/>
  <c r="BC269" i="13"/>
  <c r="AR267" i="13"/>
  <c r="AS270" i="13"/>
  <c r="J267" i="13"/>
  <c r="K270" i="13"/>
  <c r="J270" i="13"/>
  <c r="J269" i="13"/>
  <c r="J268" i="13"/>
  <c r="BK225" i="13"/>
  <c r="BK223" i="13"/>
  <c r="H250" i="13" s="1"/>
  <c r="BL238" i="13"/>
  <c r="BL244" i="13" s="1"/>
  <c r="BL247" i="13" s="1"/>
  <c r="E212" i="13"/>
  <c r="E206" i="13"/>
  <c r="B253" i="13"/>
  <c r="A253" i="13"/>
  <c r="B250" i="13"/>
  <c r="BL187" i="13"/>
  <c r="E189" i="13" s="1"/>
  <c r="A198" i="13"/>
  <c r="B198" i="13"/>
  <c r="B196" i="13"/>
  <c r="BL173" i="13"/>
  <c r="E181" i="13" s="1"/>
  <c r="A184" i="13"/>
  <c r="B184" i="13"/>
  <c r="B182" i="13"/>
  <c r="BL159" i="13"/>
  <c r="E167" i="13" s="1"/>
  <c r="A170" i="13"/>
  <c r="B170" i="13"/>
  <c r="B168" i="13"/>
  <c r="BL145" i="13"/>
  <c r="E153" i="13" s="1"/>
  <c r="A156" i="13"/>
  <c r="B156" i="13"/>
  <c r="B154" i="13"/>
  <c r="BL131" i="13"/>
  <c r="E133" i="13" s="1"/>
  <c r="B142" i="13"/>
  <c r="A142" i="13"/>
  <c r="B140" i="13"/>
  <c r="BL115" i="13"/>
  <c r="BK118" i="13" s="1"/>
  <c r="H125" i="13" s="1"/>
  <c r="BL105" i="13"/>
  <c r="E107" i="13" s="1"/>
  <c r="B126" i="13"/>
  <c r="A126" i="13"/>
  <c r="B115" i="13"/>
  <c r="BL91" i="13"/>
  <c r="BL81" i="13"/>
  <c r="E89" i="13" s="1"/>
  <c r="B102" i="13"/>
  <c r="A102" i="13"/>
  <c r="B91" i="13"/>
  <c r="BL67" i="13"/>
  <c r="BK70" i="13" s="1"/>
  <c r="BL57" i="13"/>
  <c r="E65" i="13" s="1"/>
  <c r="B78" i="13"/>
  <c r="A78" i="13"/>
  <c r="B67" i="13"/>
  <c r="W426" i="13" l="1"/>
  <c r="BC423" i="13"/>
  <c r="J426" i="13"/>
  <c r="AG426" i="13"/>
  <c r="AH426" i="13"/>
  <c r="BD423" i="13"/>
  <c r="W423" i="13"/>
  <c r="BD424" i="13"/>
  <c r="BC425" i="13"/>
  <c r="AR426" i="13"/>
  <c r="BC424" i="13"/>
  <c r="BD425" i="13"/>
  <c r="BC426" i="13"/>
  <c r="H461" i="13"/>
  <c r="BD426" i="13"/>
  <c r="V426" i="13"/>
  <c r="K426" i="13"/>
  <c r="E139" i="13"/>
  <c r="E195" i="13"/>
  <c r="E161" i="13"/>
  <c r="E147" i="13"/>
  <c r="E113" i="13"/>
  <c r="BL43" i="13"/>
  <c r="BK46" i="13" s="1"/>
  <c r="H53" i="13" s="1"/>
  <c r="BL33" i="13"/>
  <c r="E41" i="13" s="1"/>
  <c r="B54" i="13"/>
  <c r="A54" i="13"/>
  <c r="B43" i="13"/>
  <c r="BC214" i="13" l="1"/>
  <c r="BD215" i="13"/>
  <c r="AR217" i="13"/>
  <c r="AH217" i="13"/>
  <c r="W215" i="13"/>
  <c r="BC216" i="13"/>
  <c r="BD217" i="13"/>
  <c r="AG214" i="13"/>
  <c r="W214" i="13"/>
  <c r="AS217" i="13"/>
  <c r="BC217" i="13"/>
  <c r="BD216" i="13"/>
  <c r="V217" i="13"/>
  <c r="K217" i="13"/>
  <c r="W217" i="13"/>
  <c r="K214" i="13"/>
  <c r="BD214" i="13"/>
  <c r="AG217" i="13"/>
  <c r="J217" i="13"/>
  <c r="J214" i="13"/>
  <c r="V214" i="13"/>
  <c r="AG215" i="13"/>
  <c r="W216" i="13"/>
  <c r="BC215" i="13"/>
  <c r="E35" i="13"/>
  <c r="BL19" i="13"/>
  <c r="BK22" i="13" s="1"/>
  <c r="H29" i="13" s="1"/>
  <c r="BL9" i="13"/>
  <c r="B30" i="13"/>
  <c r="A30" i="13"/>
  <c r="B19" i="13"/>
  <c r="AD53" i="8" l="1"/>
  <c r="AE53" i="8" s="1"/>
  <c r="AE52" i="8"/>
  <c r="AE51" i="8"/>
  <c r="AE50" i="8"/>
  <c r="AE49" i="8"/>
  <c r="AE48" i="8"/>
  <c r="AD45" i="8"/>
  <c r="AE45" i="8" s="1"/>
  <c r="AE44" i="8"/>
  <c r="AE43" i="8"/>
  <c r="AE42" i="8"/>
  <c r="AE41" i="8"/>
  <c r="AE40" i="8"/>
  <c r="AD33" i="8"/>
  <c r="AE33" i="8" s="1"/>
  <c r="AE32" i="8"/>
  <c r="AE31" i="8"/>
  <c r="AE30" i="8"/>
  <c r="AE29" i="8"/>
  <c r="AE28" i="8"/>
  <c r="AD25" i="8"/>
  <c r="AE25" i="8" s="1"/>
  <c r="AE24" i="8"/>
  <c r="AE23" i="8"/>
  <c r="AE22" i="8"/>
  <c r="AE21" i="8"/>
  <c r="AE20" i="8"/>
  <c r="AD17" i="8"/>
  <c r="AE17" i="8" s="1"/>
  <c r="AE16" i="8"/>
  <c r="AE15" i="8"/>
  <c r="AE14" i="8"/>
  <c r="AE13" i="8"/>
  <c r="AE12" i="8"/>
  <c r="AB7" i="8"/>
  <c r="D40" i="10"/>
  <c r="D45" i="10"/>
  <c r="D35" i="10"/>
  <c r="W4" i="4"/>
  <c r="X94" i="4"/>
  <c r="X93" i="4"/>
  <c r="X92" i="4"/>
  <c r="X91" i="4"/>
  <c r="X87" i="4"/>
  <c r="X86" i="4"/>
  <c r="X85" i="4"/>
  <c r="X84" i="4"/>
  <c r="X68" i="4"/>
  <c r="X67" i="4"/>
  <c r="X63" i="4"/>
  <c r="X62" i="4"/>
  <c r="Y64" i="4" s="1"/>
  <c r="AD42" i="5" s="1"/>
  <c r="L40" i="15" s="1"/>
  <c r="X58" i="4"/>
  <c r="X57" i="4"/>
  <c r="X53" i="4"/>
  <c r="X52" i="4"/>
  <c r="X51" i="4"/>
  <c r="X50" i="4"/>
  <c r="X49" i="4"/>
  <c r="X45" i="4"/>
  <c r="X44" i="4"/>
  <c r="X43" i="4"/>
  <c r="X39" i="4"/>
  <c r="X38" i="4"/>
  <c r="X37" i="4"/>
  <c r="X33" i="4"/>
  <c r="X32" i="4"/>
  <c r="X31" i="4"/>
  <c r="X30" i="4"/>
  <c r="X25" i="4"/>
  <c r="X24" i="4"/>
  <c r="X23" i="4"/>
  <c r="X22" i="4"/>
  <c r="X17" i="4"/>
  <c r="X16" i="4"/>
  <c r="X15" i="4"/>
  <c r="X14" i="4"/>
  <c r="X10" i="4"/>
  <c r="X9" i="4"/>
  <c r="X8" i="4"/>
  <c r="AO7" i="5"/>
  <c r="Y4" i="7"/>
  <c r="C5" i="13" s="1"/>
  <c r="AU459" i="13"/>
  <c r="AJ459" i="13"/>
  <c r="Y459" i="13"/>
  <c r="M459" i="13"/>
  <c r="AU458" i="13"/>
  <c r="AJ458" i="13"/>
  <c r="Y458" i="13"/>
  <c r="M458" i="13"/>
  <c r="AU457" i="13"/>
  <c r="AJ457" i="13"/>
  <c r="Y457" i="13"/>
  <c r="M457" i="13"/>
  <c r="E451" i="13"/>
  <c r="AV442" i="13"/>
  <c r="AK442" i="13"/>
  <c r="Z442" i="13"/>
  <c r="N442" i="13"/>
  <c r="AV441" i="13"/>
  <c r="AK441" i="13"/>
  <c r="Z441" i="13"/>
  <c r="N441" i="13"/>
  <c r="AV440" i="13"/>
  <c r="AK440" i="13"/>
  <c r="Z440" i="13"/>
  <c r="N440" i="13"/>
  <c r="AU425" i="13"/>
  <c r="AT425" i="13"/>
  <c r="AJ425" i="13"/>
  <c r="AI425" i="13"/>
  <c r="Y425" i="13"/>
  <c r="X425" i="13"/>
  <c r="M425" i="13"/>
  <c r="L425" i="13"/>
  <c r="AU424" i="13"/>
  <c r="AT424" i="13"/>
  <c r="AJ424" i="13"/>
  <c r="AI424" i="13"/>
  <c r="Y424" i="13"/>
  <c r="X424" i="13"/>
  <c r="M424" i="13"/>
  <c r="L424" i="13"/>
  <c r="AU423" i="13"/>
  <c r="AT423" i="13"/>
  <c r="AJ423" i="13"/>
  <c r="AI423" i="13"/>
  <c r="Y423" i="13"/>
  <c r="X423" i="13"/>
  <c r="L423" i="13"/>
  <c r="E417" i="13"/>
  <c r="B413" i="13"/>
  <c r="C447" i="13" s="1"/>
  <c r="A413" i="13"/>
  <c r="B411" i="13"/>
  <c r="AU407" i="13"/>
  <c r="AJ407" i="13"/>
  <c r="Y407" i="13"/>
  <c r="M407" i="13"/>
  <c r="AU406" i="13"/>
  <c r="AJ406" i="13"/>
  <c r="Y406" i="13"/>
  <c r="M406" i="13"/>
  <c r="AU405" i="13"/>
  <c r="AJ405" i="13"/>
  <c r="Y405" i="13"/>
  <c r="M405" i="13"/>
  <c r="AV390" i="13"/>
  <c r="AK390" i="13"/>
  <c r="Z390" i="13"/>
  <c r="N390" i="13"/>
  <c r="AV389" i="13"/>
  <c r="AK389" i="13"/>
  <c r="Z389" i="13"/>
  <c r="N389" i="13"/>
  <c r="AV388" i="13"/>
  <c r="AK388" i="13"/>
  <c r="Z388" i="13"/>
  <c r="N388" i="13"/>
  <c r="AU373" i="13"/>
  <c r="AT373" i="13"/>
  <c r="AJ373" i="13"/>
  <c r="AI373" i="13"/>
  <c r="Y373" i="13"/>
  <c r="X373" i="13"/>
  <c r="M373" i="13"/>
  <c r="L373" i="13"/>
  <c r="AU372" i="13"/>
  <c r="AT372" i="13"/>
  <c r="AJ372" i="13"/>
  <c r="AI372" i="13"/>
  <c r="Y372" i="13"/>
  <c r="X372" i="13"/>
  <c r="M372" i="13"/>
  <c r="L372" i="13"/>
  <c r="AU371" i="13"/>
  <c r="AT371" i="13"/>
  <c r="AI371" i="13"/>
  <c r="X371" i="13"/>
  <c r="M371" i="13"/>
  <c r="L371" i="13"/>
  <c r="E367" i="13"/>
  <c r="B361" i="13"/>
  <c r="C395" i="13" s="1"/>
  <c r="A361" i="13"/>
  <c r="B359" i="13"/>
  <c r="AU355" i="13"/>
  <c r="AJ355" i="13"/>
  <c r="Y355" i="13"/>
  <c r="M355" i="13"/>
  <c r="AU354" i="13"/>
  <c r="AJ354" i="13"/>
  <c r="Y354" i="13"/>
  <c r="M354" i="13"/>
  <c r="AU353" i="13"/>
  <c r="AJ353" i="13"/>
  <c r="Y353" i="13"/>
  <c r="E347" i="13"/>
  <c r="AV338" i="13"/>
  <c r="AK338" i="13"/>
  <c r="Z338" i="13"/>
  <c r="N338" i="13"/>
  <c r="AV337" i="13"/>
  <c r="AK337" i="13"/>
  <c r="Z337" i="13"/>
  <c r="N337" i="13"/>
  <c r="AV336" i="13"/>
  <c r="AK336" i="13"/>
  <c r="Z336" i="13"/>
  <c r="N336" i="13"/>
  <c r="AU321" i="13"/>
  <c r="AT321" i="13"/>
  <c r="AJ321" i="13"/>
  <c r="AI321" i="13"/>
  <c r="Y321" i="13"/>
  <c r="X321" i="13"/>
  <c r="M321" i="13"/>
  <c r="L321" i="13"/>
  <c r="AU320" i="13"/>
  <c r="AT320" i="13"/>
  <c r="AJ320" i="13"/>
  <c r="AI320" i="13"/>
  <c r="Y320" i="13"/>
  <c r="X320" i="13"/>
  <c r="M320" i="13"/>
  <c r="L320" i="13"/>
  <c r="AT319" i="13"/>
  <c r="AJ319" i="13"/>
  <c r="AI319" i="13"/>
  <c r="Y319" i="13"/>
  <c r="X319" i="13"/>
  <c r="M319" i="13"/>
  <c r="L319" i="13"/>
  <c r="E315" i="13"/>
  <c r="B309" i="13"/>
  <c r="C343" i="13" s="1"/>
  <c r="A309" i="13"/>
  <c r="B307" i="13"/>
  <c r="AU303" i="13"/>
  <c r="AJ303" i="13"/>
  <c r="Y303" i="13"/>
  <c r="M303" i="13"/>
  <c r="AU302" i="13"/>
  <c r="AJ302" i="13"/>
  <c r="Y302" i="13"/>
  <c r="M302" i="13"/>
  <c r="AU301" i="13"/>
  <c r="AJ301" i="13"/>
  <c r="Y301" i="13"/>
  <c r="AV286" i="13"/>
  <c r="AK286" i="13"/>
  <c r="Z286" i="13"/>
  <c r="N286" i="13"/>
  <c r="AV285" i="13"/>
  <c r="AK285" i="13"/>
  <c r="Z285" i="13"/>
  <c r="N285" i="13"/>
  <c r="AK284" i="13"/>
  <c r="Z284" i="13"/>
  <c r="N284" i="13"/>
  <c r="AU269" i="13"/>
  <c r="AT269" i="13"/>
  <c r="AJ269" i="13"/>
  <c r="AI269" i="13"/>
  <c r="Y269" i="13"/>
  <c r="X269" i="13"/>
  <c r="M269" i="13"/>
  <c r="L269" i="13"/>
  <c r="AU268" i="13"/>
  <c r="AT268" i="13"/>
  <c r="AJ268" i="13"/>
  <c r="AI268" i="13"/>
  <c r="Y268" i="13"/>
  <c r="X268" i="13"/>
  <c r="M268" i="13"/>
  <c r="L268" i="13"/>
  <c r="AU267" i="13"/>
  <c r="AT267" i="13"/>
  <c r="AI267" i="13"/>
  <c r="Y267" i="13"/>
  <c r="X267" i="13"/>
  <c r="L267" i="13"/>
  <c r="E263" i="13"/>
  <c r="B257" i="13"/>
  <c r="C257" i="13" s="1"/>
  <c r="A257" i="13"/>
  <c r="B255" i="13"/>
  <c r="AU250" i="13"/>
  <c r="AJ250" i="13"/>
  <c r="Y250" i="13"/>
  <c r="M250" i="13"/>
  <c r="AU249" i="13"/>
  <c r="AJ249" i="13"/>
  <c r="Y249" i="13"/>
  <c r="M249" i="13"/>
  <c r="AJ248" i="13"/>
  <c r="Y248" i="13"/>
  <c r="M248" i="13"/>
  <c r="AV233" i="13"/>
  <c r="AK233" i="13"/>
  <c r="Z233" i="13"/>
  <c r="N233" i="13"/>
  <c r="AV232" i="13"/>
  <c r="AK232" i="13"/>
  <c r="Z232" i="13"/>
  <c r="N232" i="13"/>
  <c r="AV231" i="13"/>
  <c r="AK231" i="13"/>
  <c r="Z231" i="13"/>
  <c r="N231" i="13"/>
  <c r="AU216" i="13"/>
  <c r="AT216" i="13"/>
  <c r="AJ216" i="13"/>
  <c r="AI216" i="13"/>
  <c r="Y216" i="13"/>
  <c r="X216" i="13"/>
  <c r="M216" i="13"/>
  <c r="L216" i="13"/>
  <c r="AU215" i="13"/>
  <c r="AT215" i="13"/>
  <c r="AJ215" i="13"/>
  <c r="AI215" i="13"/>
  <c r="Y215" i="13"/>
  <c r="X215" i="13"/>
  <c r="M215" i="13"/>
  <c r="L215" i="13"/>
  <c r="AU214" i="13"/>
  <c r="AT214" i="13"/>
  <c r="AJ214" i="13"/>
  <c r="AI214" i="13"/>
  <c r="Y214" i="13"/>
  <c r="X214" i="13"/>
  <c r="M214" i="13"/>
  <c r="B204" i="13"/>
  <c r="C238" i="13" s="1"/>
  <c r="A204" i="13"/>
  <c r="B202" i="13"/>
  <c r="E191" i="13"/>
  <c r="C187" i="13"/>
  <c r="B187" i="13"/>
  <c r="BL190" i="13" s="1"/>
  <c r="A187" i="13"/>
  <c r="E179" i="13"/>
  <c r="C173" i="13"/>
  <c r="B173" i="13"/>
  <c r="A173" i="13"/>
  <c r="E163" i="13"/>
  <c r="C159" i="13"/>
  <c r="B159" i="13"/>
  <c r="A159" i="13"/>
  <c r="C145" i="13"/>
  <c r="B145" i="13"/>
  <c r="A145" i="13"/>
  <c r="E135" i="13"/>
  <c r="C131" i="13"/>
  <c r="B131" i="13"/>
  <c r="A131" i="13"/>
  <c r="E111" i="13"/>
  <c r="C105" i="13"/>
  <c r="B105" i="13"/>
  <c r="BN119" i="13" s="1"/>
  <c r="BN120" i="13" s="1"/>
  <c r="BN125" i="13" s="1"/>
  <c r="A105" i="13"/>
  <c r="BK94" i="13"/>
  <c r="H101" i="13" s="1"/>
  <c r="E83" i="13"/>
  <c r="C81" i="13"/>
  <c r="B81" i="13"/>
  <c r="BN95" i="13" s="1"/>
  <c r="BN96" i="13" s="1"/>
  <c r="BN101" i="13" s="1"/>
  <c r="A81" i="13"/>
  <c r="H77" i="13"/>
  <c r="E63" i="13"/>
  <c r="C57" i="13"/>
  <c r="B57" i="13"/>
  <c r="A57" i="13"/>
  <c r="E37" i="13"/>
  <c r="C33" i="13"/>
  <c r="B33" i="13"/>
  <c r="A33" i="13"/>
  <c r="C9" i="13"/>
  <c r="B9" i="13"/>
  <c r="A9" i="13"/>
  <c r="AJ50" i="5"/>
  <c r="Y11" i="4" l="1"/>
  <c r="Y59" i="4"/>
  <c r="AD41" i="5" s="1"/>
  <c r="L39" i="15" s="1"/>
  <c r="Y69" i="4"/>
  <c r="AD43" i="5" s="1"/>
  <c r="L41" i="15" s="1"/>
  <c r="Y95" i="4"/>
  <c r="Z95" i="4" s="1"/>
  <c r="Y88" i="4"/>
  <c r="Y54" i="4"/>
  <c r="AD40" i="5" s="1"/>
  <c r="L38" i="15" s="1"/>
  <c r="Y34" i="4"/>
  <c r="C24" i="10" s="1"/>
  <c r="AD37" i="5"/>
  <c r="L35" i="15" s="1"/>
  <c r="Z11" i="4"/>
  <c r="AF34" i="5" s="1"/>
  <c r="AD34" i="5"/>
  <c r="L32" i="15" s="1"/>
  <c r="B24" i="10"/>
  <c r="AE54" i="8"/>
  <c r="AE56" i="8" s="1"/>
  <c r="X26" i="4" s="1"/>
  <c r="Y27" i="4" s="1"/>
  <c r="AD36" i="5" s="1"/>
  <c r="L34" i="15" s="1"/>
  <c r="AE46" i="8"/>
  <c r="AE34" i="8"/>
  <c r="AE18" i="8"/>
  <c r="Y46" i="4"/>
  <c r="BI440" i="13"/>
  <c r="BI432" i="13"/>
  <c r="BI415" i="13"/>
  <c r="BI405" i="13"/>
  <c r="BI371" i="13"/>
  <c r="BI397" i="13"/>
  <c r="BI363" i="13"/>
  <c r="AD39" i="5"/>
  <c r="Y40" i="4"/>
  <c r="G449" i="13"/>
  <c r="G432" i="13"/>
  <c r="G455" i="13"/>
  <c r="G401" i="13"/>
  <c r="G386" i="13"/>
  <c r="G347" i="13"/>
  <c r="G334" i="13"/>
  <c r="G295" i="13"/>
  <c r="G280" i="13"/>
  <c r="G399" i="13"/>
  <c r="G380" i="13"/>
  <c r="G345" i="13"/>
  <c r="G328" i="13"/>
  <c r="G317" i="13"/>
  <c r="G293" i="13"/>
  <c r="G282" i="13"/>
  <c r="G278" i="13"/>
  <c r="G397" i="13"/>
  <c r="G369" i="13"/>
  <c r="I391" i="13" s="1"/>
  <c r="G421" i="13"/>
  <c r="I443" i="13" s="1"/>
  <c r="G351" i="13"/>
  <c r="G313" i="13"/>
  <c r="G299" i="13"/>
  <c r="G276" i="13"/>
  <c r="G403" i="13"/>
  <c r="G363" i="13"/>
  <c r="I388" i="13" s="1"/>
  <c r="G415" i="13"/>
  <c r="G349" i="13"/>
  <c r="G311" i="13"/>
  <c r="I336" i="13" s="1"/>
  <c r="G297" i="13"/>
  <c r="BI301" i="13"/>
  <c r="BI276" i="13"/>
  <c r="BI319" i="13"/>
  <c r="G438" i="13"/>
  <c r="G265" i="13"/>
  <c r="I287" i="13" s="1"/>
  <c r="G259" i="13"/>
  <c r="I284" i="13" s="1"/>
  <c r="BI259" i="13"/>
  <c r="G246" i="13"/>
  <c r="G240" i="13"/>
  <c r="BI248" i="13"/>
  <c r="BI240" i="13"/>
  <c r="BI231" i="13"/>
  <c r="G223" i="13"/>
  <c r="G229" i="13"/>
  <c r="BI223" i="13"/>
  <c r="BI214" i="13"/>
  <c r="G206" i="13"/>
  <c r="I231" i="13" s="1"/>
  <c r="G212" i="13"/>
  <c r="I234" i="13" s="1"/>
  <c r="BI206" i="13"/>
  <c r="E246" i="13"/>
  <c r="G195" i="13"/>
  <c r="G189" i="13"/>
  <c r="BN175" i="13"/>
  <c r="BN176" i="13" s="1"/>
  <c r="BN177" i="13" s="1"/>
  <c r="BL176" i="13"/>
  <c r="G181" i="13"/>
  <c r="G175" i="13"/>
  <c r="G167" i="13"/>
  <c r="G161" i="13"/>
  <c r="BL162" i="13"/>
  <c r="BN161" i="13"/>
  <c r="BN162" i="13" s="1"/>
  <c r="BN163" i="13" s="1"/>
  <c r="BL148" i="13"/>
  <c r="BN147" i="13"/>
  <c r="BN148" i="13" s="1"/>
  <c r="BN149" i="13" s="1"/>
  <c r="G153" i="13"/>
  <c r="G147" i="13"/>
  <c r="BN133" i="13"/>
  <c r="BN134" i="13" s="1"/>
  <c r="BN135" i="13" s="1"/>
  <c r="BL134" i="13"/>
  <c r="G139" i="13"/>
  <c r="G133" i="13"/>
  <c r="G113" i="13"/>
  <c r="G107" i="13"/>
  <c r="G118" i="13"/>
  <c r="G124" i="13"/>
  <c r="G100" i="13"/>
  <c r="G83" i="13"/>
  <c r="G89" i="13"/>
  <c r="G94" i="13"/>
  <c r="G65" i="13"/>
  <c r="G70" i="13"/>
  <c r="G76" i="13"/>
  <c r="G59" i="13"/>
  <c r="G46" i="13"/>
  <c r="BL66" i="13"/>
  <c r="BN71" i="13"/>
  <c r="BN72" i="13" s="1"/>
  <c r="BN77" i="13" s="1"/>
  <c r="G48" i="13"/>
  <c r="G50" i="13"/>
  <c r="G52" i="13"/>
  <c r="BL42" i="13"/>
  <c r="BN47" i="13"/>
  <c r="BN48" i="13" s="1"/>
  <c r="BN53" i="13" s="1"/>
  <c r="G41" i="13"/>
  <c r="G35" i="13"/>
  <c r="G28" i="13"/>
  <c r="BN23" i="13"/>
  <c r="BN24" i="13" s="1"/>
  <c r="BN29" i="13" s="1"/>
  <c r="BL18" i="13"/>
  <c r="E109" i="13"/>
  <c r="E15" i="13"/>
  <c r="E17" i="13"/>
  <c r="BN467" i="13"/>
  <c r="E137" i="13"/>
  <c r="C309" i="13"/>
  <c r="BN471" i="13"/>
  <c r="E208" i="13"/>
  <c r="E59" i="13"/>
  <c r="E177" i="13"/>
  <c r="E210" i="13"/>
  <c r="E175" i="13"/>
  <c r="E242" i="13"/>
  <c r="E259" i="13"/>
  <c r="BL90" i="13"/>
  <c r="BN189" i="13"/>
  <c r="BN190" i="13" s="1"/>
  <c r="BN191" i="13" s="1"/>
  <c r="C204" i="13"/>
  <c r="C361" i="13"/>
  <c r="C413" i="13"/>
  <c r="E363" i="13"/>
  <c r="G39" i="13"/>
  <c r="AE26" i="8"/>
  <c r="E13" i="13"/>
  <c r="G419" i="13"/>
  <c r="G453" i="13"/>
  <c r="G417" i="13"/>
  <c r="G382" i="13"/>
  <c r="G384" i="13"/>
  <c r="G367" i="13"/>
  <c r="G365" i="13"/>
  <c r="G330" i="13"/>
  <c r="G332" i="13"/>
  <c r="G315" i="13"/>
  <c r="G263" i="13"/>
  <c r="G261" i="13"/>
  <c r="G242" i="13"/>
  <c r="G225" i="13"/>
  <c r="G227" i="13"/>
  <c r="G210" i="13"/>
  <c r="G208" i="13"/>
  <c r="G177" i="13"/>
  <c r="G165" i="13"/>
  <c r="G244" i="13"/>
  <c r="G193" i="13"/>
  <c r="G163" i="13"/>
  <c r="G151" i="13"/>
  <c r="E11" i="13"/>
  <c r="G37" i="13"/>
  <c r="E39" i="13"/>
  <c r="E61" i="13"/>
  <c r="E85" i="13"/>
  <c r="G96" i="13"/>
  <c r="G85" i="13"/>
  <c r="G87" i="13"/>
  <c r="G98" i="13"/>
  <c r="G120" i="13"/>
  <c r="G109" i="13"/>
  <c r="E87" i="13"/>
  <c r="G122" i="13"/>
  <c r="G135" i="13"/>
  <c r="G137" i="13"/>
  <c r="E149" i="13"/>
  <c r="E151" i="13"/>
  <c r="G149" i="13"/>
  <c r="BL114" i="13"/>
  <c r="G111" i="13"/>
  <c r="E165" i="13"/>
  <c r="G191" i="13"/>
  <c r="G179" i="13"/>
  <c r="E193" i="13"/>
  <c r="C291" i="13"/>
  <c r="BI293" i="13"/>
  <c r="E297" i="13"/>
  <c r="E240" i="13"/>
  <c r="E261" i="13"/>
  <c r="E244" i="13"/>
  <c r="BI267" i="13"/>
  <c r="E295" i="13"/>
  <c r="BI284" i="13"/>
  <c r="BI311" i="13"/>
  <c r="BI328" i="13"/>
  <c r="BK330" i="13"/>
  <c r="BI336" i="13"/>
  <c r="BK328" i="13"/>
  <c r="BI345" i="13"/>
  <c r="E349" i="13"/>
  <c r="BI388" i="13"/>
  <c r="BI380" i="13"/>
  <c r="E313" i="13"/>
  <c r="BI353" i="13"/>
  <c r="E365" i="13"/>
  <c r="BI449" i="13"/>
  <c r="BI459" i="13"/>
  <c r="E419" i="13"/>
  <c r="BI423" i="13"/>
  <c r="G451" i="13"/>
  <c r="G434" i="13"/>
  <c r="G436" i="13"/>
  <c r="E453" i="13"/>
  <c r="BN475" i="13"/>
  <c r="Y114" i="7" s="1"/>
  <c r="AC29" i="5" s="1"/>
  <c r="A254" i="12"/>
  <c r="B254" i="12"/>
  <c r="B252" i="12"/>
  <c r="E24" i="10" l="1"/>
  <c r="BD322" i="13"/>
  <c r="BD320" i="13"/>
  <c r="V319" i="13"/>
  <c r="K321" i="13"/>
  <c r="J319" i="13"/>
  <c r="BD319" i="13"/>
  <c r="BD321" i="13"/>
  <c r="AR322" i="13"/>
  <c r="AG322" i="13"/>
  <c r="W322" i="13"/>
  <c r="H355" i="13"/>
  <c r="BC321" i="13"/>
  <c r="AG319" i="13"/>
  <c r="K322" i="13"/>
  <c r="BC322" i="13"/>
  <c r="BC320" i="13"/>
  <c r="AS322" i="13"/>
  <c r="AH322" i="13"/>
  <c r="K320" i="13"/>
  <c r="K319" i="13"/>
  <c r="BC319" i="13"/>
  <c r="V322" i="13"/>
  <c r="J322" i="13"/>
  <c r="AD46" i="5"/>
  <c r="L44" i="15" s="1"/>
  <c r="Z34" i="4"/>
  <c r="AF37" i="5" s="1"/>
  <c r="L37" i="15"/>
  <c r="AD38" i="5"/>
  <c r="I339" i="13"/>
  <c r="BN472" i="13"/>
  <c r="Y111" i="7" s="1"/>
  <c r="AD28" i="5" s="1"/>
  <c r="Y110" i="7"/>
  <c r="AC28" i="5" s="1"/>
  <c r="BN468" i="13"/>
  <c r="Y107" i="7" s="1"/>
  <c r="AD27" i="5" s="1"/>
  <c r="Y106" i="7"/>
  <c r="AC27" i="5" s="1"/>
  <c r="AS269" i="13"/>
  <c r="AH269" i="13"/>
  <c r="AG267" i="13"/>
  <c r="AG268" i="13"/>
  <c r="W267" i="13"/>
  <c r="V269" i="13"/>
  <c r="K268" i="13"/>
  <c r="AH267" i="13"/>
  <c r="AG269" i="13"/>
  <c r="AS268" i="13"/>
  <c r="AH268" i="13"/>
  <c r="V268" i="13"/>
  <c r="W268" i="13"/>
  <c r="K269" i="13"/>
  <c r="K267" i="13"/>
  <c r="W269" i="13"/>
  <c r="AE36" i="8"/>
  <c r="X18" i="4" s="1"/>
  <c r="Y19" i="4" s="1"/>
  <c r="AD35" i="5" s="1"/>
  <c r="L33" i="15" s="1"/>
  <c r="AG425" i="13"/>
  <c r="J425" i="13"/>
  <c r="AR424" i="13"/>
  <c r="V424" i="13"/>
  <c r="AH423" i="13"/>
  <c r="AR425" i="13"/>
  <c r="V425" i="13"/>
  <c r="AG424" i="13"/>
  <c r="J424" i="13"/>
  <c r="AS423" i="13"/>
  <c r="J423" i="13"/>
  <c r="AH425" i="13"/>
  <c r="K425" i="13"/>
  <c r="AS424" i="13"/>
  <c r="W424" i="13"/>
  <c r="AR423" i="13"/>
  <c r="V423" i="13"/>
  <c r="W425" i="13"/>
  <c r="K423" i="13"/>
  <c r="AH424" i="13"/>
  <c r="AS425" i="13"/>
  <c r="AG423" i="13"/>
  <c r="K424" i="13"/>
  <c r="AS373" i="13"/>
  <c r="W373" i="13"/>
  <c r="AH372" i="13"/>
  <c r="K372" i="13"/>
  <c r="AG371" i="13"/>
  <c r="K371" i="13"/>
  <c r="AR373" i="13"/>
  <c r="V373" i="13"/>
  <c r="AG372" i="13"/>
  <c r="J372" i="13"/>
  <c r="AS371" i="13"/>
  <c r="W371" i="13"/>
  <c r="AH373" i="13"/>
  <c r="K373" i="13"/>
  <c r="AS372" i="13"/>
  <c r="W372" i="13"/>
  <c r="AR371" i="13"/>
  <c r="V371" i="13"/>
  <c r="AG373" i="13"/>
  <c r="J373" i="13"/>
  <c r="AR372" i="13"/>
  <c r="V372" i="13"/>
  <c r="AH371" i="13"/>
  <c r="I285" i="13"/>
  <c r="I389" i="13"/>
  <c r="BN476" i="13"/>
  <c r="Y115" i="7" s="1"/>
  <c r="AD29" i="5" s="1"/>
  <c r="AE29" i="5" s="1"/>
  <c r="AS321" i="13"/>
  <c r="W321" i="13"/>
  <c r="AH320" i="13"/>
  <c r="AR321" i="13"/>
  <c r="V321" i="13"/>
  <c r="AG320" i="13"/>
  <c r="J320" i="13"/>
  <c r="AS319" i="13"/>
  <c r="W319" i="13"/>
  <c r="AH321" i="13"/>
  <c r="AS320" i="13"/>
  <c r="W320" i="13"/>
  <c r="AR319" i="13"/>
  <c r="AG321" i="13"/>
  <c r="J321" i="13"/>
  <c r="AR320" i="13"/>
  <c r="V320" i="13"/>
  <c r="AH319" i="13"/>
  <c r="I232" i="13"/>
  <c r="I286" i="13"/>
  <c r="I390" i="13"/>
  <c r="I441" i="13"/>
  <c r="I442" i="13"/>
  <c r="I233" i="13"/>
  <c r="I337" i="13"/>
  <c r="AH216" i="13"/>
  <c r="K216" i="13"/>
  <c r="AS215" i="13"/>
  <c r="AR214" i="13"/>
  <c r="AG216" i="13"/>
  <c r="J216" i="13"/>
  <c r="AR215" i="13"/>
  <c r="V215" i="13"/>
  <c r="AH214" i="13"/>
  <c r="AS216" i="13"/>
  <c r="AH215" i="13"/>
  <c r="K215" i="13"/>
  <c r="V216" i="13"/>
  <c r="AR216" i="13"/>
  <c r="J215" i="13"/>
  <c r="AS214" i="13"/>
  <c r="I338" i="13"/>
  <c r="I440" i="13"/>
  <c r="B391" i="12"/>
  <c r="BB394" i="12"/>
  <c r="BB390" i="12"/>
  <c r="BB386" i="12"/>
  <c r="B395" i="12"/>
  <c r="B387" i="12"/>
  <c r="A395" i="12"/>
  <c r="A391" i="12"/>
  <c r="A387" i="12"/>
  <c r="AP312" i="2"/>
  <c r="AP308" i="2"/>
  <c r="AP304" i="2"/>
  <c r="B313" i="2"/>
  <c r="B309" i="2"/>
  <c r="A313" i="2"/>
  <c r="A309" i="2"/>
  <c r="G81" i="4"/>
  <c r="H44" i="5" s="1"/>
  <c r="C45" i="10"/>
  <c r="B45" i="10"/>
  <c r="C40" i="10"/>
  <c r="B40" i="10"/>
  <c r="C35" i="10"/>
  <c r="B35" i="10"/>
  <c r="AJ378" i="12"/>
  <c r="Y378" i="12"/>
  <c r="M378" i="12"/>
  <c r="AJ377" i="12"/>
  <c r="Y377" i="12"/>
  <c r="M377" i="12"/>
  <c r="AJ376" i="12"/>
  <c r="Y376" i="12"/>
  <c r="M376" i="12"/>
  <c r="BB368" i="12"/>
  <c r="AV363" i="12"/>
  <c r="AK365" i="12"/>
  <c r="Z365" i="12"/>
  <c r="N365" i="12"/>
  <c r="BB355" i="12"/>
  <c r="BB360" i="12" s="1"/>
  <c r="BB361" i="12" s="1"/>
  <c r="BB342" i="12"/>
  <c r="AU350" i="12"/>
  <c r="AT350" i="12"/>
  <c r="AJ352" i="12"/>
  <c r="AI352" i="12"/>
  <c r="Y352" i="12"/>
  <c r="X352" i="12"/>
  <c r="M352" i="12"/>
  <c r="L352" i="12"/>
  <c r="AU378" i="12"/>
  <c r="AU377" i="12"/>
  <c r="AU376" i="12"/>
  <c r="AV365" i="12"/>
  <c r="AV364" i="12"/>
  <c r="AU352" i="12"/>
  <c r="AT352" i="12"/>
  <c r="AU351" i="12"/>
  <c r="AT351" i="12"/>
  <c r="B382" i="12"/>
  <c r="A382" i="12"/>
  <c r="B380" i="12"/>
  <c r="B342" i="12"/>
  <c r="A342" i="12"/>
  <c r="B340" i="12"/>
  <c r="AY363" i="12" s="1"/>
  <c r="AJ336" i="12"/>
  <c r="Y336" i="12"/>
  <c r="M336" i="12"/>
  <c r="M335" i="12"/>
  <c r="AU336" i="12"/>
  <c r="AU335" i="12"/>
  <c r="AU334" i="12"/>
  <c r="AV321" i="12"/>
  <c r="AK323" i="12"/>
  <c r="Z323" i="12"/>
  <c r="N323" i="12"/>
  <c r="AV323" i="12"/>
  <c r="AV322" i="12"/>
  <c r="AT308" i="12"/>
  <c r="AJ310" i="12"/>
  <c r="AI310" i="12"/>
  <c r="AI308" i="12"/>
  <c r="Y310" i="12"/>
  <c r="X310" i="12"/>
  <c r="M310" i="12"/>
  <c r="L310" i="12"/>
  <c r="BB326" i="12"/>
  <c r="BB313" i="12"/>
  <c r="BB300" i="12"/>
  <c r="B338" i="12"/>
  <c r="A338" i="12"/>
  <c r="B336" i="12"/>
  <c r="B300" i="12"/>
  <c r="A300" i="12"/>
  <c r="B298" i="12"/>
  <c r="AY302" i="12" s="1"/>
  <c r="L308" i="12"/>
  <c r="M308" i="12"/>
  <c r="L309" i="12"/>
  <c r="M309" i="12"/>
  <c r="AU310" i="12"/>
  <c r="AT310" i="12"/>
  <c r="AU309" i="12"/>
  <c r="AT309" i="12"/>
  <c r="AU308" i="12"/>
  <c r="AE28" i="5" l="1"/>
  <c r="L26" i="15"/>
  <c r="F42" i="15"/>
  <c r="N42" i="15" s="1"/>
  <c r="AO44" i="5"/>
  <c r="BA317" i="12"/>
  <c r="BB318" i="12"/>
  <c r="BB319" i="12" s="1"/>
  <c r="E346" i="12"/>
  <c r="BB350" i="12"/>
  <c r="BB351" i="12" s="1"/>
  <c r="E304" i="12"/>
  <c r="BB308" i="12"/>
  <c r="BB309" i="12" s="1"/>
  <c r="AY344" i="12"/>
  <c r="L36" i="15"/>
  <c r="AE27" i="5"/>
  <c r="BD390" i="12"/>
  <c r="BD391" i="12" s="1"/>
  <c r="Q111" i="7" s="1"/>
  <c r="S28" i="5" s="1"/>
  <c r="E374" i="12"/>
  <c r="BB374" i="12"/>
  <c r="BB375" i="12" s="1"/>
  <c r="E332" i="12"/>
  <c r="BB332" i="12"/>
  <c r="BB333" i="12" s="1"/>
  <c r="B36" i="10"/>
  <c r="B46" i="10"/>
  <c r="B47" i="10" s="1"/>
  <c r="E80" i="4" s="1"/>
  <c r="B41" i="10"/>
  <c r="B42" i="10" s="1"/>
  <c r="E77" i="4" s="1"/>
  <c r="BD386" i="12"/>
  <c r="BD387" i="12" s="1"/>
  <c r="Q107" i="7" s="1"/>
  <c r="S27" i="5" s="1"/>
  <c r="E348" i="12"/>
  <c r="BD394" i="12"/>
  <c r="BD395" i="12" s="1"/>
  <c r="Q115" i="7" s="1"/>
  <c r="S29" i="5" s="1"/>
  <c r="AR312" i="2"/>
  <c r="AR313" i="2" s="1"/>
  <c r="AR308" i="2"/>
  <c r="AR309" i="2" s="1"/>
  <c r="E344" i="12"/>
  <c r="AY370" i="12"/>
  <c r="E370" i="12"/>
  <c r="E372" i="12"/>
  <c r="AY350" i="12"/>
  <c r="AY378" i="12"/>
  <c r="AY357" i="12"/>
  <c r="E328" i="12"/>
  <c r="E302" i="12"/>
  <c r="E306" i="12"/>
  <c r="BA315" i="12"/>
  <c r="H336" i="12" s="1"/>
  <c r="AJ294" i="12"/>
  <c r="Y294" i="12"/>
  <c r="M294" i="12"/>
  <c r="AV279" i="12"/>
  <c r="AK281" i="12"/>
  <c r="Z281" i="12"/>
  <c r="Z279" i="12"/>
  <c r="N281" i="12"/>
  <c r="AJ268" i="12"/>
  <c r="AI268" i="12"/>
  <c r="Y268" i="12"/>
  <c r="X268" i="12"/>
  <c r="M268" i="12"/>
  <c r="M267" i="12"/>
  <c r="L268" i="12"/>
  <c r="AU294" i="12"/>
  <c r="AU293" i="12"/>
  <c r="AU292" i="12"/>
  <c r="AV281" i="12"/>
  <c r="AV280" i="12"/>
  <c r="AU268" i="12"/>
  <c r="AT268" i="12"/>
  <c r="AU267" i="12"/>
  <c r="AT267" i="12"/>
  <c r="AU266" i="12"/>
  <c r="AT266" i="12"/>
  <c r="BB284" i="12"/>
  <c r="BB271" i="12"/>
  <c r="BB258" i="12"/>
  <c r="B296" i="12"/>
  <c r="A296" i="12"/>
  <c r="B294" i="12"/>
  <c r="B37" i="10" l="1"/>
  <c r="E74" i="4" s="1"/>
  <c r="C38" i="10"/>
  <c r="C36" i="10" s="1"/>
  <c r="Q110" i="7"/>
  <c r="R28" i="5" s="1"/>
  <c r="BA273" i="12"/>
  <c r="AG266" i="12" s="1"/>
  <c r="BB276" i="12"/>
  <c r="BB277" i="12" s="1"/>
  <c r="E264" i="12"/>
  <c r="BB266" i="12"/>
  <c r="BB267" i="12" s="1"/>
  <c r="Q114" i="7"/>
  <c r="R29" i="5" s="1"/>
  <c r="Q106" i="7"/>
  <c r="R27" i="5" s="1"/>
  <c r="E286" i="12"/>
  <c r="BB290" i="12"/>
  <c r="BB291" i="12" s="1"/>
  <c r="E73" i="4"/>
  <c r="C48" i="10"/>
  <c r="C46" i="10" s="1"/>
  <c r="C47" i="10" s="1"/>
  <c r="N80" i="4" s="1"/>
  <c r="E79" i="4"/>
  <c r="C43" i="10"/>
  <c r="C41" i="10" s="1"/>
  <c r="C42" i="10" s="1"/>
  <c r="N77" i="4" s="1"/>
  <c r="E76" i="4"/>
  <c r="AS310" i="12"/>
  <c r="AR309" i="12"/>
  <c r="AG310" i="12"/>
  <c r="W310" i="12"/>
  <c r="K310" i="12"/>
  <c r="V308" i="12"/>
  <c r="AS309" i="12"/>
  <c r="AR308" i="12"/>
  <c r="AG308" i="12"/>
  <c r="W308" i="12"/>
  <c r="J310" i="12"/>
  <c r="AS308" i="12"/>
  <c r="V310" i="12"/>
  <c r="J309" i="12"/>
  <c r="AR310" i="12"/>
  <c r="AH310" i="12"/>
  <c r="J308" i="12"/>
  <c r="E290" i="12"/>
  <c r="BA275" i="12"/>
  <c r="E260" i="12"/>
  <c r="V268" i="12"/>
  <c r="AJ252" i="12"/>
  <c r="Y252" i="12"/>
  <c r="M252" i="12"/>
  <c r="BB242" i="12"/>
  <c r="AU252" i="12"/>
  <c r="AU251" i="12"/>
  <c r="AU250" i="12"/>
  <c r="AV237" i="12"/>
  <c r="AK239" i="12"/>
  <c r="Z239" i="12"/>
  <c r="N239" i="12"/>
  <c r="BB229" i="12"/>
  <c r="AV239" i="12"/>
  <c r="AV238" i="12"/>
  <c r="AT224" i="12"/>
  <c r="AU226" i="12"/>
  <c r="AT226" i="12"/>
  <c r="AU225" i="12"/>
  <c r="AT225" i="12"/>
  <c r="AU224" i="12"/>
  <c r="AJ226" i="12"/>
  <c r="AI226" i="12"/>
  <c r="Y226" i="12"/>
  <c r="X226" i="12"/>
  <c r="M226" i="12"/>
  <c r="L226" i="12"/>
  <c r="L224" i="12"/>
  <c r="BB216" i="12"/>
  <c r="BB159" i="12"/>
  <c r="E161" i="12" s="1"/>
  <c r="B168" i="12"/>
  <c r="A168" i="12"/>
  <c r="B166" i="12"/>
  <c r="BB147" i="12"/>
  <c r="E153" i="12" s="1"/>
  <c r="B156" i="12"/>
  <c r="A156" i="12"/>
  <c r="B154" i="12"/>
  <c r="BB135" i="12"/>
  <c r="E137" i="12" s="1"/>
  <c r="B144" i="12"/>
  <c r="A144" i="12"/>
  <c r="B142" i="12"/>
  <c r="BB123" i="12"/>
  <c r="E125" i="12" s="1"/>
  <c r="B132" i="12"/>
  <c r="A132" i="12"/>
  <c r="B130" i="12"/>
  <c r="K266" i="12" l="1"/>
  <c r="AR266" i="12"/>
  <c r="AS268" i="12"/>
  <c r="K268" i="12"/>
  <c r="AH268" i="12"/>
  <c r="AS266" i="12"/>
  <c r="AR268" i="12"/>
  <c r="J266" i="12"/>
  <c r="J268" i="12"/>
  <c r="W268" i="12"/>
  <c r="AR267" i="12"/>
  <c r="AS267" i="12"/>
  <c r="AG268" i="12"/>
  <c r="T28" i="5"/>
  <c r="T29" i="5"/>
  <c r="T27" i="5"/>
  <c r="I26" i="15"/>
  <c r="BA231" i="12"/>
  <c r="H252" i="12" s="1"/>
  <c r="BB234" i="12"/>
  <c r="BB235" i="12" s="1"/>
  <c r="N76" i="4"/>
  <c r="C37" i="10"/>
  <c r="N74" i="4" s="1"/>
  <c r="D18" i="10" s="1"/>
  <c r="D38" i="10"/>
  <c r="D36" i="10" s="1"/>
  <c r="W73" i="4" s="1"/>
  <c r="E222" i="12"/>
  <c r="BB224" i="12"/>
  <c r="BB225" i="12" s="1"/>
  <c r="E244" i="12"/>
  <c r="BB248" i="12"/>
  <c r="BB249" i="12" s="1"/>
  <c r="N73" i="4"/>
  <c r="N79" i="4"/>
  <c r="D48" i="10"/>
  <c r="D46" i="10" s="1"/>
  <c r="D47" i="10" s="1"/>
  <c r="W80" i="4" s="1"/>
  <c r="D43" i="10"/>
  <c r="D41" i="10" s="1"/>
  <c r="D42" i="10" s="1"/>
  <c r="W77" i="4" s="1"/>
  <c r="E248" i="12"/>
  <c r="BA233" i="12"/>
  <c r="AR224" i="12"/>
  <c r="E218" i="12"/>
  <c r="AG226" i="12"/>
  <c r="W225" i="12"/>
  <c r="V226" i="12"/>
  <c r="W226" i="12"/>
  <c r="AS225" i="12"/>
  <c r="E165" i="12"/>
  <c r="E149" i="12"/>
  <c r="E129" i="12"/>
  <c r="E141" i="12"/>
  <c r="BB97" i="12"/>
  <c r="BB89" i="12"/>
  <c r="E95" i="12" s="1"/>
  <c r="B106" i="12"/>
  <c r="A106" i="12"/>
  <c r="B97" i="12"/>
  <c r="A89" i="12"/>
  <c r="BB77" i="12"/>
  <c r="BA80" i="12" s="1"/>
  <c r="H85" i="12" s="1"/>
  <c r="BB69" i="12"/>
  <c r="E71" i="12" s="1"/>
  <c r="B86" i="12"/>
  <c r="A86" i="12"/>
  <c r="B77" i="12"/>
  <c r="C69" i="12"/>
  <c r="B69" i="12"/>
  <c r="BD81" i="12" s="1"/>
  <c r="BD82" i="12" s="1"/>
  <c r="BD85" i="12" s="1"/>
  <c r="A69" i="12"/>
  <c r="BB57" i="12"/>
  <c r="BB49" i="12"/>
  <c r="E55" i="12" s="1"/>
  <c r="B66" i="12"/>
  <c r="A66" i="12"/>
  <c r="B57" i="12"/>
  <c r="C49" i="12"/>
  <c r="B49" i="12"/>
  <c r="BD61" i="12" s="1"/>
  <c r="BD62" i="12" s="1"/>
  <c r="BD65" i="12" s="1"/>
  <c r="A49" i="12"/>
  <c r="BB37" i="12"/>
  <c r="BA40" i="12" s="1"/>
  <c r="H45" i="12" s="1"/>
  <c r="BB29" i="12"/>
  <c r="E35" i="12" s="1"/>
  <c r="B46" i="12"/>
  <c r="A46" i="12"/>
  <c r="B37" i="12"/>
  <c r="E4" i="7"/>
  <c r="Q4" i="7"/>
  <c r="B174" i="12"/>
  <c r="A174" i="12"/>
  <c r="B172" i="12"/>
  <c r="AY176" i="12" s="1"/>
  <c r="C111" i="12"/>
  <c r="B111" i="12"/>
  <c r="A111" i="12"/>
  <c r="B9" i="12"/>
  <c r="BD21" i="12" s="1"/>
  <c r="A9" i="12"/>
  <c r="C9" i="12"/>
  <c r="AU210" i="12"/>
  <c r="AU209" i="12"/>
  <c r="AU208" i="12"/>
  <c r="AV195" i="12"/>
  <c r="AV196" i="12"/>
  <c r="AV197" i="12"/>
  <c r="AJ210" i="12"/>
  <c r="Y210" i="12"/>
  <c r="Y208" i="12"/>
  <c r="M210" i="12"/>
  <c r="Z195" i="12"/>
  <c r="AK197" i="12"/>
  <c r="Z197" i="12"/>
  <c r="N197" i="12"/>
  <c r="BB200" i="12"/>
  <c r="BB187" i="12"/>
  <c r="BB174" i="12"/>
  <c r="BB182" i="12" s="1"/>
  <c r="BB183" i="12" s="1"/>
  <c r="AU184" i="12"/>
  <c r="AU183" i="12"/>
  <c r="AU182" i="12"/>
  <c r="AT184" i="12"/>
  <c r="AT183" i="12"/>
  <c r="AT182" i="12"/>
  <c r="AJ184" i="12"/>
  <c r="AI184" i="12"/>
  <c r="Y184" i="12"/>
  <c r="X184" i="12"/>
  <c r="M184" i="12"/>
  <c r="L184" i="12"/>
  <c r="V224" i="12" l="1"/>
  <c r="AR225" i="12"/>
  <c r="W224" i="12"/>
  <c r="AH226" i="12"/>
  <c r="K26" i="15"/>
  <c r="AS226" i="12"/>
  <c r="AR226" i="12"/>
  <c r="AS224" i="12"/>
  <c r="W76" i="4"/>
  <c r="D37" i="10"/>
  <c r="W74" i="4" s="1"/>
  <c r="D24" i="10" s="1"/>
  <c r="BA189" i="12"/>
  <c r="AG182" i="12" s="1"/>
  <c r="BB192" i="12"/>
  <c r="BB193" i="12" s="1"/>
  <c r="E206" i="12"/>
  <c r="BB206" i="12"/>
  <c r="BB207" i="12" s="1"/>
  <c r="W79" i="4"/>
  <c r="E91" i="12"/>
  <c r="E75" i="12"/>
  <c r="BB76" i="12"/>
  <c r="BB56" i="12"/>
  <c r="E51" i="12"/>
  <c r="E31" i="12"/>
  <c r="BB16" i="12"/>
  <c r="E202" i="12"/>
  <c r="AR184" i="12"/>
  <c r="BA191" i="12"/>
  <c r="AH184" i="12"/>
  <c r="AR183" i="12"/>
  <c r="W184" i="12"/>
  <c r="E180" i="12"/>
  <c r="B212" i="12"/>
  <c r="A212" i="12"/>
  <c r="B210" i="12"/>
  <c r="Q7" i="8"/>
  <c r="C8" i="8"/>
  <c r="C7" i="8"/>
  <c r="S53" i="8"/>
  <c r="T53" i="8" s="1"/>
  <c r="T52" i="8"/>
  <c r="T51" i="8"/>
  <c r="T50" i="8"/>
  <c r="T49" i="8"/>
  <c r="T48" i="8"/>
  <c r="S45" i="8"/>
  <c r="T45" i="8" s="1"/>
  <c r="T44" i="8"/>
  <c r="T43" i="8"/>
  <c r="T42" i="8"/>
  <c r="T41" i="8"/>
  <c r="T40" i="8"/>
  <c r="S33" i="8"/>
  <c r="T33" i="8" s="1"/>
  <c r="T32" i="8"/>
  <c r="T31" i="8"/>
  <c r="T30" i="8"/>
  <c r="T29" i="8"/>
  <c r="T28" i="8"/>
  <c r="S25" i="8"/>
  <c r="T25" i="8" s="1"/>
  <c r="T24" i="8"/>
  <c r="T23" i="8"/>
  <c r="T22" i="8"/>
  <c r="T21" i="8"/>
  <c r="T20" i="8"/>
  <c r="S17" i="8"/>
  <c r="T17" i="8" s="1"/>
  <c r="T16" i="8"/>
  <c r="T15" i="8"/>
  <c r="T14" i="8"/>
  <c r="T13" i="8"/>
  <c r="T12" i="8"/>
  <c r="N4" i="4"/>
  <c r="E4" i="4"/>
  <c r="C5" i="4"/>
  <c r="C4" i="4"/>
  <c r="O94" i="4"/>
  <c r="O93" i="4"/>
  <c r="O92" i="4"/>
  <c r="O91" i="4"/>
  <c r="O87" i="4"/>
  <c r="O86" i="4"/>
  <c r="O85" i="4"/>
  <c r="O84" i="4"/>
  <c r="O68" i="4"/>
  <c r="O67" i="4"/>
  <c r="P69" i="4" s="1"/>
  <c r="S43" i="5" s="1"/>
  <c r="O63" i="4"/>
  <c r="O62" i="4"/>
  <c r="O58" i="4"/>
  <c r="O57" i="4"/>
  <c r="O53" i="4"/>
  <c r="O52" i="4"/>
  <c r="O51" i="4"/>
  <c r="O50" i="4"/>
  <c r="O49" i="4"/>
  <c r="O45" i="4"/>
  <c r="O44" i="4"/>
  <c r="O43" i="4"/>
  <c r="O39" i="4"/>
  <c r="O38" i="4"/>
  <c r="O37" i="4"/>
  <c r="O33" i="4"/>
  <c r="O32" i="4"/>
  <c r="O31" i="4"/>
  <c r="O30" i="4"/>
  <c r="O25" i="4"/>
  <c r="O24" i="4"/>
  <c r="O23" i="4"/>
  <c r="O22" i="4"/>
  <c r="O17" i="4"/>
  <c r="O16" i="4"/>
  <c r="O15" i="4"/>
  <c r="O14" i="4"/>
  <c r="O10" i="4"/>
  <c r="O9" i="4"/>
  <c r="O8" i="4"/>
  <c r="BD22" i="12"/>
  <c r="BD25" i="12" s="1"/>
  <c r="BB17" i="12"/>
  <c r="BA20" i="12" s="1"/>
  <c r="H25" i="12" s="1"/>
  <c r="BB9" i="12"/>
  <c r="E11" i="12" s="1"/>
  <c r="B26" i="12"/>
  <c r="A26" i="12"/>
  <c r="B17" i="12"/>
  <c r="C5" i="12"/>
  <c r="C5" i="2"/>
  <c r="C5" i="7"/>
  <c r="D4" i="2" s="1"/>
  <c r="C4" i="7"/>
  <c r="C4" i="2" s="1"/>
  <c r="BB111" i="12"/>
  <c r="E117" i="12" s="1"/>
  <c r="B120" i="12"/>
  <c r="A120" i="12"/>
  <c r="B118" i="12"/>
  <c r="BD113" i="12"/>
  <c r="BD114" i="12" s="1"/>
  <c r="BD115" i="12" s="1"/>
  <c r="AK364" i="12"/>
  <c r="Z364" i="12"/>
  <c r="N364" i="12"/>
  <c r="AK363" i="12"/>
  <c r="Z363" i="12"/>
  <c r="N363" i="12"/>
  <c r="BA357" i="12"/>
  <c r="H380" i="12" s="1"/>
  <c r="AJ351" i="12"/>
  <c r="AI351" i="12"/>
  <c r="Y351" i="12"/>
  <c r="X351" i="12"/>
  <c r="M351" i="12"/>
  <c r="L351" i="12"/>
  <c r="AJ350" i="12"/>
  <c r="AI350" i="12"/>
  <c r="Y350" i="12"/>
  <c r="X350" i="12"/>
  <c r="M350" i="12"/>
  <c r="L350" i="12"/>
  <c r="C368" i="12"/>
  <c r="AJ335" i="12"/>
  <c r="Y335" i="12"/>
  <c r="AJ334" i="12"/>
  <c r="Y334" i="12"/>
  <c r="M334" i="12"/>
  <c r="E330" i="12"/>
  <c r="AK322" i="12"/>
  <c r="Z322" i="12"/>
  <c r="N322" i="12"/>
  <c r="AK321" i="12"/>
  <c r="Z321" i="12"/>
  <c r="N321" i="12"/>
  <c r="AJ309" i="12"/>
  <c r="AI309" i="12"/>
  <c r="Y309" i="12"/>
  <c r="X309" i="12"/>
  <c r="AJ308" i="12"/>
  <c r="Y308" i="12"/>
  <c r="X308" i="12"/>
  <c r="C326" i="12"/>
  <c r="AJ293" i="12"/>
  <c r="Y293" i="12"/>
  <c r="M293" i="12"/>
  <c r="AJ292" i="12"/>
  <c r="Y292" i="12"/>
  <c r="M292" i="12"/>
  <c r="E288" i="12"/>
  <c r="AK280" i="12"/>
  <c r="Z280" i="12"/>
  <c r="N280" i="12"/>
  <c r="AK279" i="12"/>
  <c r="N279" i="12"/>
  <c r="AJ267" i="12"/>
  <c r="AI267" i="12"/>
  <c r="Y267" i="12"/>
  <c r="X267" i="12"/>
  <c r="L267" i="12"/>
  <c r="AJ266" i="12"/>
  <c r="AI266" i="12"/>
  <c r="Y266" i="12"/>
  <c r="X266" i="12"/>
  <c r="M266" i="12"/>
  <c r="L266" i="12"/>
  <c r="B258" i="12"/>
  <c r="C284" i="12" s="1"/>
  <c r="A258" i="12"/>
  <c r="B256" i="12"/>
  <c r="AJ251" i="12"/>
  <c r="Y251" i="12"/>
  <c r="M251" i="12"/>
  <c r="AJ250" i="12"/>
  <c r="Y250" i="12"/>
  <c r="M250" i="12"/>
  <c r="AK238" i="12"/>
  <c r="Z238" i="12"/>
  <c r="N238" i="12"/>
  <c r="AK237" i="12"/>
  <c r="Z237" i="12"/>
  <c r="N237" i="12"/>
  <c r="AJ225" i="12"/>
  <c r="AI225" i="12"/>
  <c r="Y225" i="12"/>
  <c r="X225" i="12"/>
  <c r="M225" i="12"/>
  <c r="L225" i="12"/>
  <c r="AJ224" i="12"/>
  <c r="AI224" i="12"/>
  <c r="Y224" i="12"/>
  <c r="X224" i="12"/>
  <c r="M224" i="12"/>
  <c r="E220" i="12"/>
  <c r="B216" i="12"/>
  <c r="A216" i="12"/>
  <c r="B214" i="12"/>
  <c r="AJ209" i="12"/>
  <c r="Y209" i="12"/>
  <c r="M209" i="12"/>
  <c r="AJ208" i="12"/>
  <c r="M208" i="12"/>
  <c r="E204" i="12"/>
  <c r="AK196" i="12"/>
  <c r="Z196" i="12"/>
  <c r="N196" i="12"/>
  <c r="AK195" i="12"/>
  <c r="N195" i="12"/>
  <c r="AJ183" i="12"/>
  <c r="AI183" i="12"/>
  <c r="Y183" i="12"/>
  <c r="X183" i="12"/>
  <c r="M183" i="12"/>
  <c r="L183" i="12"/>
  <c r="AJ182" i="12"/>
  <c r="AI182" i="12"/>
  <c r="Y182" i="12"/>
  <c r="X182" i="12"/>
  <c r="M182" i="12"/>
  <c r="L182" i="12"/>
  <c r="E176" i="12"/>
  <c r="E163" i="12"/>
  <c r="C159" i="12"/>
  <c r="B159" i="12"/>
  <c r="A159" i="12"/>
  <c r="E151" i="12"/>
  <c r="C147" i="12"/>
  <c r="B147" i="12"/>
  <c r="A147" i="12"/>
  <c r="C135" i="12"/>
  <c r="B135" i="12"/>
  <c r="A135" i="12"/>
  <c r="E127" i="12"/>
  <c r="C123" i="12"/>
  <c r="B123" i="12"/>
  <c r="A123" i="12"/>
  <c r="BA100" i="12"/>
  <c r="H105" i="12" s="1"/>
  <c r="E93" i="12"/>
  <c r="C89" i="12"/>
  <c r="B89" i="12"/>
  <c r="BA60" i="12"/>
  <c r="H65" i="12" s="1"/>
  <c r="E53" i="12"/>
  <c r="E33" i="12"/>
  <c r="C29" i="12"/>
  <c r="B29" i="12"/>
  <c r="A29" i="12"/>
  <c r="AS182" i="12" l="1"/>
  <c r="AH182" i="12"/>
  <c r="T34" i="8"/>
  <c r="AR182" i="12"/>
  <c r="F294" i="2"/>
  <c r="F276" i="2"/>
  <c r="F253" i="2"/>
  <c r="F230" i="2"/>
  <c r="F212" i="2"/>
  <c r="F189" i="2"/>
  <c r="F166" i="2"/>
  <c r="F148" i="2"/>
  <c r="F125" i="2"/>
  <c r="F105" i="2"/>
  <c r="F84" i="2"/>
  <c r="F68" i="2"/>
  <c r="F52" i="2"/>
  <c r="F36" i="2"/>
  <c r="F20" i="2"/>
  <c r="F260" i="2"/>
  <c r="F242" i="2"/>
  <c r="F196" i="2"/>
  <c r="F155" i="2"/>
  <c r="F93" i="2"/>
  <c r="F59" i="2"/>
  <c r="F11" i="2"/>
  <c r="F292" i="2"/>
  <c r="F274" i="2"/>
  <c r="F251" i="2"/>
  <c r="F228" i="2"/>
  <c r="F210" i="2"/>
  <c r="F187" i="2"/>
  <c r="F164" i="2"/>
  <c r="F146" i="2"/>
  <c r="F123" i="2"/>
  <c r="F103" i="2"/>
  <c r="F82" i="2"/>
  <c r="F66" i="2"/>
  <c r="F50" i="2"/>
  <c r="F34" i="2"/>
  <c r="F18" i="2"/>
  <c r="F133" i="2"/>
  <c r="F43" i="2"/>
  <c r="F285" i="2"/>
  <c r="F262" i="2"/>
  <c r="F244" i="2"/>
  <c r="F221" i="2"/>
  <c r="F198" i="2"/>
  <c r="F180" i="2"/>
  <c r="F157" i="2"/>
  <c r="F135" i="2"/>
  <c r="F115" i="2"/>
  <c r="F95" i="2"/>
  <c r="F77" i="2"/>
  <c r="F61" i="2"/>
  <c r="F45" i="2"/>
  <c r="F29" i="2"/>
  <c r="F13" i="2"/>
  <c r="F283" i="2"/>
  <c r="F219" i="2"/>
  <c r="F178" i="2"/>
  <c r="F113" i="2"/>
  <c r="F75" i="2"/>
  <c r="F27" i="2"/>
  <c r="V184" i="12"/>
  <c r="AS184" i="12"/>
  <c r="I41" i="15"/>
  <c r="P54" i="4"/>
  <c r="S40" i="5" s="1"/>
  <c r="T54" i="8"/>
  <c r="T46" i="8"/>
  <c r="T56" i="8" s="1"/>
  <c r="O26" i="4" s="1"/>
  <c r="P27" i="4" s="1"/>
  <c r="S36" i="5" s="1"/>
  <c r="T26" i="8"/>
  <c r="H4" i="12"/>
  <c r="L4" i="12" s="1"/>
  <c r="M4" i="12" s="1"/>
  <c r="G260" i="12"/>
  <c r="G222" i="12"/>
  <c r="G204" i="12"/>
  <c r="G189" i="12"/>
  <c r="G235" i="12"/>
  <c r="G220" i="12"/>
  <c r="G202" i="12"/>
  <c r="G180" i="12"/>
  <c r="G344" i="12"/>
  <c r="G233" i="12"/>
  <c r="G218" i="12"/>
  <c r="G193" i="12"/>
  <c r="G178" i="12"/>
  <c r="G302" i="12"/>
  <c r="G231" i="12"/>
  <c r="G206" i="12"/>
  <c r="G191" i="12"/>
  <c r="G176" i="12"/>
  <c r="AG184" i="12"/>
  <c r="AS183" i="12"/>
  <c r="V182" i="12"/>
  <c r="H210" i="12"/>
  <c r="P34" i="4"/>
  <c r="P40" i="4"/>
  <c r="P11" i="4"/>
  <c r="S34" i="5" s="1"/>
  <c r="P64" i="4"/>
  <c r="S42" i="5" s="1"/>
  <c r="P88" i="4"/>
  <c r="P95" i="4"/>
  <c r="Q95" i="4" s="1"/>
  <c r="E4" i="2"/>
  <c r="G4" i="12" s="1"/>
  <c r="G5" i="12" s="1"/>
  <c r="P59" i="4"/>
  <c r="S41" i="5" s="1"/>
  <c r="P46" i="4"/>
  <c r="S39" i="5" s="1"/>
  <c r="G374" i="12"/>
  <c r="G361" i="12"/>
  <c r="G348" i="12"/>
  <c r="G359" i="12"/>
  <c r="G370" i="12"/>
  <c r="G357" i="12"/>
  <c r="G346" i="12"/>
  <c r="T18" i="8"/>
  <c r="W350" i="12"/>
  <c r="AG352" i="12"/>
  <c r="V350" i="12"/>
  <c r="AS352" i="12"/>
  <c r="AS351" i="12"/>
  <c r="AG350" i="12"/>
  <c r="K352" i="12"/>
  <c r="AR352" i="12"/>
  <c r="AR351" i="12"/>
  <c r="AS350" i="12"/>
  <c r="AH352" i="12"/>
  <c r="W352" i="12"/>
  <c r="J352" i="12"/>
  <c r="AR350" i="12"/>
  <c r="AH350" i="12"/>
  <c r="V352" i="12"/>
  <c r="J350" i="12"/>
  <c r="AY273" i="12"/>
  <c r="AY260" i="12"/>
  <c r="AY218" i="12"/>
  <c r="AY250" i="12"/>
  <c r="AY244" i="12"/>
  <c r="BD161" i="12"/>
  <c r="BD162" i="12" s="1"/>
  <c r="BD163" i="12" s="1"/>
  <c r="BB162" i="12"/>
  <c r="BB150" i="12"/>
  <c r="BD149" i="12"/>
  <c r="BD150" i="12" s="1"/>
  <c r="BD151" i="12" s="1"/>
  <c r="BD137" i="12"/>
  <c r="BD138" i="12" s="1"/>
  <c r="BD139" i="12" s="1"/>
  <c r="BB138" i="12"/>
  <c r="BB126" i="12"/>
  <c r="BD125" i="12"/>
  <c r="BD126" i="12" s="1"/>
  <c r="BD127" i="12" s="1"/>
  <c r="BD101" i="12"/>
  <c r="BD102" i="12" s="1"/>
  <c r="BD105" i="12" s="1"/>
  <c r="BB96" i="12"/>
  <c r="BD41" i="12"/>
  <c r="BD42" i="12" s="1"/>
  <c r="BD45" i="12" s="1"/>
  <c r="BB36" i="12"/>
  <c r="E115" i="12"/>
  <c r="AY182" i="12"/>
  <c r="AY189" i="12"/>
  <c r="E13" i="12"/>
  <c r="E15" i="12"/>
  <c r="E113" i="12"/>
  <c r="BB114" i="12"/>
  <c r="C300" i="12"/>
  <c r="E178" i="12"/>
  <c r="AH267" i="12"/>
  <c r="E73" i="12"/>
  <c r="E139" i="12"/>
  <c r="C200" i="12"/>
  <c r="C174" i="12"/>
  <c r="AY208" i="12"/>
  <c r="AY195" i="12"/>
  <c r="AY202" i="12"/>
  <c r="C242" i="12"/>
  <c r="C216" i="12"/>
  <c r="AY237" i="12"/>
  <c r="AY231" i="12"/>
  <c r="AY224" i="12"/>
  <c r="AY292" i="12"/>
  <c r="AY279" i="12"/>
  <c r="AY266" i="12"/>
  <c r="E246" i="12"/>
  <c r="E262" i="12"/>
  <c r="AY286" i="12"/>
  <c r="C258" i="12"/>
  <c r="AY334" i="12"/>
  <c r="AY321" i="12"/>
  <c r="AY315" i="12"/>
  <c r="AY308" i="12"/>
  <c r="AY328" i="12"/>
  <c r="AG351" i="12"/>
  <c r="J351" i="12"/>
  <c r="K350" i="12"/>
  <c r="V351" i="12"/>
  <c r="K351" i="12"/>
  <c r="AH351" i="12"/>
  <c r="W351" i="12"/>
  <c r="BA359" i="12"/>
  <c r="C342" i="12"/>
  <c r="A98" i="2"/>
  <c r="B18" i="10" l="1"/>
  <c r="Q11" i="4"/>
  <c r="U34" i="5" s="1"/>
  <c r="I4" i="12"/>
  <c r="S46" i="5"/>
  <c r="I44" i="15" s="1"/>
  <c r="E18" i="10"/>
  <c r="I40" i="15"/>
  <c r="I39" i="15"/>
  <c r="I38" i="15"/>
  <c r="I37" i="15"/>
  <c r="C18" i="10"/>
  <c r="Q34" i="4"/>
  <c r="U37" i="5" s="1"/>
  <c r="S37" i="5"/>
  <c r="I32" i="15"/>
  <c r="I34" i="15"/>
  <c r="H5" i="12"/>
  <c r="H6" i="12" s="1"/>
  <c r="L6" i="12" s="1"/>
  <c r="M6" i="12" s="1"/>
  <c r="S38" i="5"/>
  <c r="C4" i="12"/>
  <c r="J4" i="12"/>
  <c r="K4" i="12" s="1"/>
  <c r="G6" i="12"/>
  <c r="I364" i="12"/>
  <c r="I363" i="12"/>
  <c r="I365" i="12"/>
  <c r="T36" i="8"/>
  <c r="O18" i="4" s="1"/>
  <c r="P19" i="4" s="1"/>
  <c r="K308" i="12"/>
  <c r="K309" i="12"/>
  <c r="AG225" i="12"/>
  <c r="K226" i="12"/>
  <c r="J224" i="12"/>
  <c r="J226" i="12"/>
  <c r="AG224" i="12"/>
  <c r="K184" i="12"/>
  <c r="J182" i="12"/>
  <c r="J184" i="12"/>
  <c r="K182" i="12"/>
  <c r="AH224" i="12"/>
  <c r="W309" i="12"/>
  <c r="AH308" i="12"/>
  <c r="AH309" i="12"/>
  <c r="J225" i="12"/>
  <c r="W266" i="12"/>
  <c r="V309" i="12"/>
  <c r="K224" i="12"/>
  <c r="K225" i="12"/>
  <c r="AG309" i="12"/>
  <c r="V225" i="12"/>
  <c r="W267" i="12"/>
  <c r="H294" i="12"/>
  <c r="J267" i="12"/>
  <c r="V266" i="12"/>
  <c r="AH225" i="12"/>
  <c r="AH266" i="12"/>
  <c r="V267" i="12"/>
  <c r="AG267" i="12"/>
  <c r="K267" i="12"/>
  <c r="AH183" i="12"/>
  <c r="K183" i="12"/>
  <c r="AG183" i="12"/>
  <c r="J183" i="12"/>
  <c r="W183" i="12"/>
  <c r="W182" i="12"/>
  <c r="V183" i="12"/>
  <c r="B172" i="2"/>
  <c r="I5" i="12" l="1"/>
  <c r="D4" i="12" s="1"/>
  <c r="F374" i="12" s="1"/>
  <c r="I35" i="15"/>
  <c r="S35" i="5"/>
  <c r="I36" i="15"/>
  <c r="N4" i="12"/>
  <c r="D1" i="7" s="1"/>
  <c r="J6" i="12"/>
  <c r="K6" i="12" s="1"/>
  <c r="J5" i="12"/>
  <c r="K5" i="12" s="1"/>
  <c r="N5" i="12" s="1"/>
  <c r="C4" i="13"/>
  <c r="L5" i="12"/>
  <c r="M5" i="12" s="1"/>
  <c r="I6" i="12"/>
  <c r="D4" i="13" s="1"/>
  <c r="AK191" i="2"/>
  <c r="F127" i="12" l="1"/>
  <c r="F361" i="12"/>
  <c r="F163" i="12"/>
  <c r="F22" i="12"/>
  <c r="T7" i="5"/>
  <c r="F75" i="12"/>
  <c r="F55" i="12"/>
  <c r="F248" i="12"/>
  <c r="F60" i="12"/>
  <c r="F330" i="12"/>
  <c r="F204" i="12"/>
  <c r="F15" i="12"/>
  <c r="F178" i="12"/>
  <c r="F180" i="12"/>
  <c r="F95" i="12"/>
  <c r="F306" i="12"/>
  <c r="F84" i="12"/>
  <c r="F31" i="12"/>
  <c r="F222" i="12"/>
  <c r="F372" i="12"/>
  <c r="F113" i="12"/>
  <c r="F33" i="12"/>
  <c r="F100" i="12"/>
  <c r="F235" i="12"/>
  <c r="F233" i="12"/>
  <c r="F91" i="12"/>
  <c r="F277" i="12"/>
  <c r="F24" i="12"/>
  <c r="F44" i="12"/>
  <c r="F115" i="12"/>
  <c r="F315" i="12"/>
  <c r="F288" i="12"/>
  <c r="F137" i="12"/>
  <c r="F357" i="12"/>
  <c r="F40" i="12"/>
  <c r="F104" i="12"/>
  <c r="F149" i="12"/>
  <c r="F260" i="12"/>
  <c r="F82" i="12"/>
  <c r="F35" i="12"/>
  <c r="F151" i="12"/>
  <c r="F302" i="12"/>
  <c r="F218" i="12"/>
  <c r="F125" i="12"/>
  <c r="F20" i="12"/>
  <c r="F73" i="12"/>
  <c r="F129" i="12"/>
  <c r="F202" i="12"/>
  <c r="F275" i="12"/>
  <c r="F348" i="12"/>
  <c r="F141" i="12"/>
  <c r="F328" i="12"/>
  <c r="F51" i="12"/>
  <c r="F102" i="12"/>
  <c r="F165" i="12"/>
  <c r="F244" i="12"/>
  <c r="F317" i="12"/>
  <c r="F42" i="12"/>
  <c r="F273" i="12"/>
  <c r="F53" i="12"/>
  <c r="F191" i="12"/>
  <c r="F220" i="12"/>
  <c r="F290" i="12"/>
  <c r="F370" i="12"/>
  <c r="F193" i="12"/>
  <c r="F11" i="12"/>
  <c r="F62" i="12"/>
  <c r="F117" i="12"/>
  <c r="F189" i="12"/>
  <c r="F262" i="12"/>
  <c r="F332" i="12"/>
  <c r="F71" i="12"/>
  <c r="F346" i="12"/>
  <c r="F93" i="12"/>
  <c r="F246" i="12"/>
  <c r="F264" i="12"/>
  <c r="F161" i="12"/>
  <c r="F13" i="12"/>
  <c r="F64" i="12"/>
  <c r="F176" i="12"/>
  <c r="F319" i="12"/>
  <c r="F344" i="12"/>
  <c r="F80" i="12"/>
  <c r="F139" i="12"/>
  <c r="F206" i="12"/>
  <c r="F286" i="12"/>
  <c r="F359" i="12"/>
  <c r="F153" i="12"/>
  <c r="F231" i="12"/>
  <c r="F304" i="12"/>
  <c r="F455" i="13"/>
  <c r="F438" i="13"/>
  <c r="F421" i="13"/>
  <c r="F403" i="13"/>
  <c r="F386" i="13"/>
  <c r="F369" i="13"/>
  <c r="F351" i="13"/>
  <c r="F334" i="13"/>
  <c r="F317" i="13"/>
  <c r="F299" i="13"/>
  <c r="F282" i="13"/>
  <c r="F265" i="13"/>
  <c r="F246" i="13"/>
  <c r="F229" i="13"/>
  <c r="F212" i="13"/>
  <c r="F195" i="13"/>
  <c r="F181" i="13"/>
  <c r="F167" i="13"/>
  <c r="F153" i="13"/>
  <c r="F139" i="13"/>
  <c r="F124" i="13"/>
  <c r="F113" i="13"/>
  <c r="F100" i="13"/>
  <c r="F89" i="13"/>
  <c r="F76" i="13"/>
  <c r="F65" i="13"/>
  <c r="F52" i="13"/>
  <c r="F41" i="13"/>
  <c r="F28" i="13"/>
  <c r="F17" i="13"/>
  <c r="F432" i="13"/>
  <c r="F415" i="13"/>
  <c r="F380" i="13"/>
  <c r="F328" i="13"/>
  <c r="F259" i="13"/>
  <c r="F206" i="13"/>
  <c r="F175" i="13"/>
  <c r="F147" i="13"/>
  <c r="F107" i="13"/>
  <c r="F70" i="13"/>
  <c r="F59" i="13"/>
  <c r="F22" i="13"/>
  <c r="F453" i="13"/>
  <c r="F436" i="13"/>
  <c r="F419" i="13"/>
  <c r="F401" i="13"/>
  <c r="F384" i="13"/>
  <c r="F367" i="13"/>
  <c r="F349" i="13"/>
  <c r="F332" i="13"/>
  <c r="F315" i="13"/>
  <c r="F297" i="13"/>
  <c r="F280" i="13"/>
  <c r="F263" i="13"/>
  <c r="F244" i="13"/>
  <c r="F227" i="13"/>
  <c r="F210" i="13"/>
  <c r="F193" i="13"/>
  <c r="F179" i="13"/>
  <c r="F165" i="13"/>
  <c r="F151" i="13"/>
  <c r="F137" i="13"/>
  <c r="F122" i="13"/>
  <c r="F111" i="13"/>
  <c r="F98" i="13"/>
  <c r="F87" i="13"/>
  <c r="F74" i="13"/>
  <c r="F63" i="13"/>
  <c r="F50" i="13"/>
  <c r="F39" i="13"/>
  <c r="F26" i="13"/>
  <c r="F15" i="13"/>
  <c r="F449" i="13"/>
  <c r="F397" i="13"/>
  <c r="F363" i="13"/>
  <c r="F311" i="13"/>
  <c r="F293" i="13"/>
  <c r="F276" i="13"/>
  <c r="F240" i="13"/>
  <c r="F223" i="13"/>
  <c r="F189" i="13"/>
  <c r="F161" i="13"/>
  <c r="F133" i="13"/>
  <c r="F118" i="13"/>
  <c r="F83" i="13"/>
  <c r="F46" i="13"/>
  <c r="F11" i="13"/>
  <c r="F451" i="13"/>
  <c r="F434" i="13"/>
  <c r="F417" i="13"/>
  <c r="F399" i="13"/>
  <c r="F382" i="13"/>
  <c r="F365" i="13"/>
  <c r="F347" i="13"/>
  <c r="F330" i="13"/>
  <c r="F313" i="13"/>
  <c r="F295" i="13"/>
  <c r="F278" i="13"/>
  <c r="F261" i="13"/>
  <c r="F242" i="13"/>
  <c r="F225" i="13"/>
  <c r="F208" i="13"/>
  <c r="F191" i="13"/>
  <c r="F177" i="13"/>
  <c r="F163" i="13"/>
  <c r="F149" i="13"/>
  <c r="F135" i="13"/>
  <c r="F120" i="13"/>
  <c r="F109" i="13"/>
  <c r="F96" i="13"/>
  <c r="F85" i="13"/>
  <c r="F72" i="13"/>
  <c r="F61" i="13"/>
  <c r="F48" i="13"/>
  <c r="F37" i="13"/>
  <c r="F24" i="13"/>
  <c r="F13" i="13"/>
  <c r="F345" i="13"/>
  <c r="F94" i="13"/>
  <c r="F35" i="13"/>
  <c r="A8" i="5"/>
  <c r="E6" i="15"/>
  <c r="I33" i="15"/>
  <c r="H248" i="13"/>
  <c r="H240" i="13" s="1"/>
  <c r="H251" i="13" s="1"/>
  <c r="H459" i="13"/>
  <c r="H405" i="13"/>
  <c r="H353" i="13"/>
  <c r="H301" i="13"/>
  <c r="E1" i="8"/>
  <c r="H182" i="13"/>
  <c r="H175" i="13" s="1"/>
  <c r="H196" i="13"/>
  <c r="H154" i="13"/>
  <c r="H147" i="13" s="1"/>
  <c r="H168" i="13"/>
  <c r="H114" i="13"/>
  <c r="H113" i="13" s="1"/>
  <c r="H140" i="13"/>
  <c r="H66" i="13"/>
  <c r="K65" i="13" s="1"/>
  <c r="H90" i="13"/>
  <c r="H42" i="13"/>
  <c r="H18" i="13"/>
  <c r="U4" i="7"/>
  <c r="D1" i="4"/>
  <c r="U5" i="7"/>
  <c r="AE7" i="5"/>
  <c r="N6" i="12"/>
  <c r="AH8" i="5" s="1"/>
  <c r="E4" i="13"/>
  <c r="AD7" i="5"/>
  <c r="AP153" i="2"/>
  <c r="AP157" i="2" s="1"/>
  <c r="H242" i="13" l="1"/>
  <c r="I242" i="13" s="1"/>
  <c r="H244" i="13"/>
  <c r="I244" i="13" s="1"/>
  <c r="K6" i="15"/>
  <c r="W8" i="5"/>
  <c r="N6" i="15"/>
  <c r="H246" i="13"/>
  <c r="I246" i="13" s="1"/>
  <c r="H351" i="13"/>
  <c r="I351" i="13" s="1"/>
  <c r="H311" i="13"/>
  <c r="I311" i="13" s="1"/>
  <c r="M311" i="13" s="1"/>
  <c r="M328" i="13" s="1"/>
  <c r="K317" i="13"/>
  <c r="L317" i="13" s="1"/>
  <c r="H317" i="13"/>
  <c r="I317" i="13" s="1"/>
  <c r="M317" i="13" s="1"/>
  <c r="H403" i="13"/>
  <c r="I403" i="13" s="1"/>
  <c r="K363" i="13"/>
  <c r="L363" i="13" s="1"/>
  <c r="H399" i="13"/>
  <c r="I399" i="13" s="1"/>
  <c r="H369" i="13"/>
  <c r="I369" i="13" s="1"/>
  <c r="M369" i="13" s="1"/>
  <c r="M386" i="13" s="1"/>
  <c r="H397" i="13"/>
  <c r="H408" i="13" s="1"/>
  <c r="E380" i="13" s="1"/>
  <c r="K369" i="13"/>
  <c r="L369" i="13" s="1"/>
  <c r="H401" i="13"/>
  <c r="I401" i="13" s="1"/>
  <c r="H455" i="13"/>
  <c r="I455" i="13" s="1"/>
  <c r="H421" i="13"/>
  <c r="I421" i="13" s="1"/>
  <c r="M421" i="13" s="1"/>
  <c r="M438" i="13" s="1"/>
  <c r="H415" i="13"/>
  <c r="I415" i="13" s="1"/>
  <c r="M415" i="13" s="1"/>
  <c r="K421" i="13"/>
  <c r="L421" i="13" s="1"/>
  <c r="K415" i="13"/>
  <c r="L415" i="13" s="1"/>
  <c r="H449" i="13"/>
  <c r="I397" i="13"/>
  <c r="H299" i="13"/>
  <c r="I299" i="13" s="1"/>
  <c r="H295" i="13"/>
  <c r="I295" i="13" s="1"/>
  <c r="H297" i="13"/>
  <c r="I297" i="13" s="1"/>
  <c r="H293" i="13"/>
  <c r="K259" i="13"/>
  <c r="L259" i="13" s="1"/>
  <c r="K265" i="13"/>
  <c r="L265" i="13" s="1"/>
  <c r="H265" i="13"/>
  <c r="H282" i="13" s="1"/>
  <c r="K263" i="13"/>
  <c r="L263" i="13" s="1"/>
  <c r="H259" i="13"/>
  <c r="H305" i="13" s="1"/>
  <c r="K261" i="13"/>
  <c r="L261" i="13" s="1"/>
  <c r="I240" i="13"/>
  <c r="H206" i="13"/>
  <c r="H252" i="13" s="1"/>
  <c r="K206" i="13"/>
  <c r="L206" i="13" s="1"/>
  <c r="K212" i="13"/>
  <c r="L212" i="13" s="1"/>
  <c r="H212" i="13"/>
  <c r="H181" i="13"/>
  <c r="H153" i="13"/>
  <c r="H195" i="13"/>
  <c r="I195" i="13" s="1"/>
  <c r="H193" i="13"/>
  <c r="I193" i="13" s="1"/>
  <c r="K113" i="13"/>
  <c r="H184" i="13"/>
  <c r="H161" i="13"/>
  <c r="I161" i="13" s="1"/>
  <c r="H167" i="13"/>
  <c r="I167" i="13" s="1"/>
  <c r="L167" i="13" s="1"/>
  <c r="H156" i="13"/>
  <c r="I147" i="13"/>
  <c r="J147" i="13" s="1"/>
  <c r="H139" i="13"/>
  <c r="I139" i="13" s="1"/>
  <c r="H133" i="13"/>
  <c r="I133" i="13" s="1"/>
  <c r="H124" i="13"/>
  <c r="J113" i="13"/>
  <c r="I124" i="13" s="1"/>
  <c r="I113" i="13"/>
  <c r="M113" i="13" s="1"/>
  <c r="M124" i="13" s="1"/>
  <c r="H65" i="13"/>
  <c r="J65" i="13" s="1"/>
  <c r="H89" i="13"/>
  <c r="J89" i="13" s="1"/>
  <c r="K89" i="13"/>
  <c r="H41" i="13"/>
  <c r="K41" i="13"/>
  <c r="K35" i="13"/>
  <c r="L35" i="13" s="1"/>
  <c r="H35" i="13"/>
  <c r="H46" i="13" s="1"/>
  <c r="H54" i="13" s="1"/>
  <c r="W17" i="7" s="1"/>
  <c r="H11" i="13"/>
  <c r="K11" i="13"/>
  <c r="K17" i="13"/>
  <c r="K15" i="13"/>
  <c r="K13" i="13"/>
  <c r="H17" i="13"/>
  <c r="S1" i="7"/>
  <c r="Y8" i="8"/>
  <c r="U5" i="4"/>
  <c r="U4" i="4"/>
  <c r="Y7" i="8"/>
  <c r="H263" i="13"/>
  <c r="H261" i="13"/>
  <c r="H347" i="13"/>
  <c r="I347" i="13" s="1"/>
  <c r="K315" i="13"/>
  <c r="L315" i="13" s="1"/>
  <c r="H315" i="13"/>
  <c r="J315" i="13" s="1"/>
  <c r="K313" i="13"/>
  <c r="L313" i="13" s="1"/>
  <c r="H345" i="13"/>
  <c r="H356" i="13" s="1"/>
  <c r="H313" i="13"/>
  <c r="J313" i="13" s="1"/>
  <c r="K311" i="13"/>
  <c r="L311" i="13" s="1"/>
  <c r="H349" i="13"/>
  <c r="I349" i="13" s="1"/>
  <c r="H179" i="13"/>
  <c r="I179" i="13" s="1"/>
  <c r="I175" i="13"/>
  <c r="H177" i="13"/>
  <c r="I177" i="13" s="1"/>
  <c r="K63" i="13"/>
  <c r="H63" i="13"/>
  <c r="H61" i="13"/>
  <c r="H59" i="13"/>
  <c r="I59" i="13" s="1"/>
  <c r="K59" i="13"/>
  <c r="K61" i="13"/>
  <c r="H137" i="13"/>
  <c r="I137" i="13" s="1"/>
  <c r="H135" i="13"/>
  <c r="I135" i="13" s="1"/>
  <c r="H165" i="13"/>
  <c r="I165" i="13" s="1"/>
  <c r="L165" i="13" s="1"/>
  <c r="H163" i="13"/>
  <c r="I163" i="13" s="1"/>
  <c r="L163" i="13" s="1"/>
  <c r="K107" i="13"/>
  <c r="L107" i="13" s="1"/>
  <c r="H107" i="13"/>
  <c r="H116" i="13" s="1"/>
  <c r="H109" i="13"/>
  <c r="H111" i="13"/>
  <c r="I111" i="13" s="1"/>
  <c r="K109" i="13"/>
  <c r="L109" i="13" s="1"/>
  <c r="K111" i="13"/>
  <c r="L111" i="13" s="1"/>
  <c r="H13" i="13"/>
  <c r="H15" i="13"/>
  <c r="K210" i="13"/>
  <c r="L210" i="13" s="1"/>
  <c r="K208" i="13"/>
  <c r="L208" i="13" s="1"/>
  <c r="H210" i="13"/>
  <c r="H208" i="13"/>
  <c r="E223" i="13"/>
  <c r="K367" i="13"/>
  <c r="L367" i="13" s="1"/>
  <c r="K365" i="13"/>
  <c r="L365" i="13" s="1"/>
  <c r="H367" i="13"/>
  <c r="H363" i="13"/>
  <c r="H409" i="13" s="1"/>
  <c r="H406" i="13" s="1"/>
  <c r="U93" i="7" s="1"/>
  <c r="H365" i="13"/>
  <c r="K87" i="13"/>
  <c r="L87" i="13" s="1"/>
  <c r="H87" i="13"/>
  <c r="H85" i="13"/>
  <c r="K83" i="13"/>
  <c r="L83" i="13" s="1"/>
  <c r="K85" i="13"/>
  <c r="L85" i="13" s="1"/>
  <c r="H83" i="13"/>
  <c r="I83" i="13" s="1"/>
  <c r="H149" i="13"/>
  <c r="I149" i="13" s="1"/>
  <c r="H151" i="13"/>
  <c r="I151" i="13" s="1"/>
  <c r="K39" i="13"/>
  <c r="L39" i="13" s="1"/>
  <c r="K37" i="13"/>
  <c r="L37" i="13" s="1"/>
  <c r="H37" i="13"/>
  <c r="H39" i="13"/>
  <c r="H453" i="13"/>
  <c r="I453" i="13" s="1"/>
  <c r="H417" i="13"/>
  <c r="H451" i="13"/>
  <c r="I451" i="13" s="1"/>
  <c r="H419" i="13"/>
  <c r="K419" i="13"/>
  <c r="L419" i="13" s="1"/>
  <c r="K417" i="13"/>
  <c r="L417" i="13" s="1"/>
  <c r="H191" i="13"/>
  <c r="I191" i="13" s="1"/>
  <c r="H189" i="13"/>
  <c r="H198" i="13" s="1"/>
  <c r="H197" i="13" s="1"/>
  <c r="AO155" i="2"/>
  <c r="AG150" i="2" s="1"/>
  <c r="AP249" i="2"/>
  <c r="AP253" i="2" s="1"/>
  <c r="AP254" i="2" s="1"/>
  <c r="H357" i="13" l="1"/>
  <c r="H354" i="13" s="1"/>
  <c r="U85" i="7" s="1"/>
  <c r="AA1" i="8"/>
  <c r="H463" i="13"/>
  <c r="H460" i="13" s="1"/>
  <c r="U101" i="7" s="1"/>
  <c r="L349" i="13"/>
  <c r="J349" i="13"/>
  <c r="L347" i="13"/>
  <c r="J347" i="13"/>
  <c r="L295" i="13"/>
  <c r="J295" i="13"/>
  <c r="L351" i="13"/>
  <c r="J351" i="13"/>
  <c r="L403" i="13"/>
  <c r="J403" i="13"/>
  <c r="J415" i="13"/>
  <c r="I432" i="13" s="1"/>
  <c r="H432" i="13"/>
  <c r="J311" i="13"/>
  <c r="I328" i="13" s="1"/>
  <c r="H328" i="13"/>
  <c r="L451" i="13"/>
  <c r="J451" i="13"/>
  <c r="J299" i="13"/>
  <c r="L299" i="13"/>
  <c r="L399" i="13"/>
  <c r="J399" i="13"/>
  <c r="L397" i="13"/>
  <c r="J397" i="13"/>
  <c r="I449" i="13"/>
  <c r="H462" i="13"/>
  <c r="E432" i="13" s="1"/>
  <c r="E434" i="13" s="1"/>
  <c r="H438" i="13"/>
  <c r="J421" i="13"/>
  <c r="I438" i="13" s="1"/>
  <c r="N378" i="13"/>
  <c r="N374" i="13" s="1"/>
  <c r="O374" i="13" s="1"/>
  <c r="J369" i="13"/>
  <c r="I386" i="13" s="1"/>
  <c r="H386" i="13"/>
  <c r="L453" i="13"/>
  <c r="J453" i="13"/>
  <c r="I265" i="13"/>
  <c r="M265" i="13" s="1"/>
  <c r="M282" i="13" s="1"/>
  <c r="I293" i="13"/>
  <c r="H304" i="13"/>
  <c r="E276" i="13" s="1"/>
  <c r="E278" i="13" s="1"/>
  <c r="L401" i="13"/>
  <c r="J401" i="13"/>
  <c r="I345" i="13"/>
  <c r="N427" i="13"/>
  <c r="N423" i="13" s="1"/>
  <c r="O423" i="13" s="1"/>
  <c r="L455" i="13"/>
  <c r="J455" i="13"/>
  <c r="J297" i="13"/>
  <c r="L297" i="13"/>
  <c r="M432" i="13"/>
  <c r="N430" i="13"/>
  <c r="N426" i="13" s="1"/>
  <c r="O426" i="13" s="1"/>
  <c r="J317" i="13"/>
  <c r="I334" i="13" s="1"/>
  <c r="H334" i="13"/>
  <c r="H436" i="13"/>
  <c r="J419" i="13"/>
  <c r="I436" i="13" s="1"/>
  <c r="I419" i="13"/>
  <c r="M419" i="13" s="1"/>
  <c r="M436" i="13" s="1"/>
  <c r="J417" i="13"/>
  <c r="I434" i="13" s="1"/>
  <c r="I417" i="13"/>
  <c r="M417" i="13" s="1"/>
  <c r="M434" i="13" s="1"/>
  <c r="H434" i="13"/>
  <c r="H380" i="13"/>
  <c r="I363" i="13"/>
  <c r="M363" i="13" s="1"/>
  <c r="M380" i="13" s="1"/>
  <c r="J363" i="13"/>
  <c r="H384" i="13"/>
  <c r="J367" i="13"/>
  <c r="I384" i="13" s="1"/>
  <c r="I367" i="13"/>
  <c r="M367" i="13" s="1"/>
  <c r="M384" i="13" s="1"/>
  <c r="J365" i="13"/>
  <c r="I382" i="13" s="1"/>
  <c r="I365" i="13"/>
  <c r="M365" i="13" s="1"/>
  <c r="M382" i="13" s="1"/>
  <c r="E382" i="13"/>
  <c r="H302" i="13"/>
  <c r="U77" i="7" s="1"/>
  <c r="I302" i="13"/>
  <c r="N323" i="13"/>
  <c r="I332" i="13"/>
  <c r="I330" i="13"/>
  <c r="M334" i="13"/>
  <c r="N326" i="13"/>
  <c r="N322" i="13" s="1"/>
  <c r="O322" i="13" s="1"/>
  <c r="E328" i="13"/>
  <c r="E330" i="13" s="1"/>
  <c r="J259" i="13"/>
  <c r="I276" i="13" s="1"/>
  <c r="H276" i="13"/>
  <c r="J261" i="13"/>
  <c r="I278" i="13" s="1"/>
  <c r="H278" i="13"/>
  <c r="J263" i="13"/>
  <c r="I280" i="13" s="1"/>
  <c r="H280" i="13"/>
  <c r="J265" i="13"/>
  <c r="I282" i="13" s="1"/>
  <c r="I263" i="13"/>
  <c r="M263" i="13" s="1"/>
  <c r="M280" i="13" s="1"/>
  <c r="I261" i="13"/>
  <c r="M261" i="13" s="1"/>
  <c r="I259" i="13"/>
  <c r="M259" i="13" s="1"/>
  <c r="M276" i="13" s="1"/>
  <c r="L244" i="13"/>
  <c r="J244" i="13"/>
  <c r="L246" i="13"/>
  <c r="J246" i="13"/>
  <c r="H249" i="13"/>
  <c r="U69" i="7" s="1"/>
  <c r="I249" i="13"/>
  <c r="L242" i="13"/>
  <c r="J242" i="13"/>
  <c r="L240" i="13"/>
  <c r="J240" i="13"/>
  <c r="J208" i="13"/>
  <c r="I225" i="13" s="1"/>
  <c r="H225" i="13"/>
  <c r="J210" i="13"/>
  <c r="I227" i="13" s="1"/>
  <c r="H227" i="13"/>
  <c r="J206" i="13"/>
  <c r="I223" i="13" s="1"/>
  <c r="H223" i="13"/>
  <c r="I206" i="13"/>
  <c r="M206" i="13" s="1"/>
  <c r="M223" i="13" s="1"/>
  <c r="E225" i="13"/>
  <c r="I208" i="13"/>
  <c r="M208" i="13" s="1"/>
  <c r="I210" i="13"/>
  <c r="M210" i="13" s="1"/>
  <c r="N220" i="13" s="1"/>
  <c r="N216" i="13" s="1"/>
  <c r="O216" i="13" s="1"/>
  <c r="J212" i="13"/>
  <c r="I229" i="13" s="1"/>
  <c r="H229" i="13"/>
  <c r="I212" i="13"/>
  <c r="M212" i="13" s="1"/>
  <c r="M229" i="13" s="1"/>
  <c r="U62" i="7"/>
  <c r="I197" i="13"/>
  <c r="I189" i="13"/>
  <c r="J195" i="13"/>
  <c r="L195" i="13"/>
  <c r="H170" i="13"/>
  <c r="H169" i="13" s="1"/>
  <c r="U52" i="7" s="1"/>
  <c r="L175" i="13"/>
  <c r="J175" i="13"/>
  <c r="L179" i="13"/>
  <c r="J179" i="13"/>
  <c r="H183" i="13"/>
  <c r="U57" i="7" s="1"/>
  <c r="I183" i="13"/>
  <c r="L177" i="13"/>
  <c r="J177" i="13"/>
  <c r="L161" i="13"/>
  <c r="J161" i="13"/>
  <c r="J167" i="13"/>
  <c r="N167" i="13" s="1"/>
  <c r="P167" i="13" s="1"/>
  <c r="K147" i="13"/>
  <c r="H155" i="13"/>
  <c r="U47" i="7" s="1"/>
  <c r="I155" i="13"/>
  <c r="H142" i="13"/>
  <c r="I141" i="13" s="1"/>
  <c r="L133" i="13"/>
  <c r="J133" i="13"/>
  <c r="L139" i="13"/>
  <c r="J139" i="13"/>
  <c r="H115" i="13"/>
  <c r="U36" i="7" s="1"/>
  <c r="I115" i="13"/>
  <c r="H120" i="13"/>
  <c r="J109" i="13"/>
  <c r="H118" i="13"/>
  <c r="H126" i="13" s="1"/>
  <c r="W35" i="7" s="1"/>
  <c r="J107" i="13"/>
  <c r="I118" i="13" s="1"/>
  <c r="H122" i="13"/>
  <c r="J111" i="13"/>
  <c r="I109" i="13"/>
  <c r="M109" i="13" s="1"/>
  <c r="I107" i="13"/>
  <c r="M107" i="13" s="1"/>
  <c r="M118" i="13" s="1"/>
  <c r="H96" i="13"/>
  <c r="J85" i="13"/>
  <c r="J83" i="13"/>
  <c r="I94" i="13" s="1"/>
  <c r="H94" i="13"/>
  <c r="H102" i="13" s="1"/>
  <c r="H98" i="13"/>
  <c r="J87" i="13"/>
  <c r="H92" i="13"/>
  <c r="H91" i="13" s="1"/>
  <c r="U30" i="7" s="1"/>
  <c r="H72" i="13"/>
  <c r="M59" i="13"/>
  <c r="M70" i="13" s="1"/>
  <c r="J59" i="13"/>
  <c r="H74" i="13"/>
  <c r="H68" i="13"/>
  <c r="J41" i="13"/>
  <c r="I52" i="13" s="1"/>
  <c r="H52" i="13"/>
  <c r="H48" i="13"/>
  <c r="J37" i="13"/>
  <c r="I48" i="13" s="1"/>
  <c r="H44" i="13"/>
  <c r="J35" i="13"/>
  <c r="I46" i="13" s="1"/>
  <c r="I35" i="13"/>
  <c r="M35" i="13" s="1"/>
  <c r="M46" i="13" s="1"/>
  <c r="I11" i="13"/>
  <c r="M11" i="13" s="1"/>
  <c r="M22" i="13" s="1"/>
  <c r="H50" i="13"/>
  <c r="J39" i="13"/>
  <c r="I50" i="13" s="1"/>
  <c r="I15" i="13"/>
  <c r="M15" i="13" s="1"/>
  <c r="I17" i="13"/>
  <c r="M17" i="13" s="1"/>
  <c r="H22" i="13"/>
  <c r="H20" i="13"/>
  <c r="H19" i="13" s="1"/>
  <c r="U12" i="7" s="1"/>
  <c r="H24" i="13"/>
  <c r="H28" i="13"/>
  <c r="H26" i="13"/>
  <c r="I13" i="13"/>
  <c r="M13" i="13" s="1"/>
  <c r="U1" i="4"/>
  <c r="I61" i="13"/>
  <c r="M61" i="13" s="1"/>
  <c r="M72" i="13" s="1"/>
  <c r="L191" i="13"/>
  <c r="J191" i="13"/>
  <c r="I37" i="13"/>
  <c r="M37" i="13" s="1"/>
  <c r="M48" i="13" s="1"/>
  <c r="M83" i="13"/>
  <c r="M94" i="13" s="1"/>
  <c r="I39" i="13"/>
  <c r="M39" i="13" s="1"/>
  <c r="M50" i="13" s="1"/>
  <c r="J165" i="13"/>
  <c r="N165" i="13" s="1"/>
  <c r="P165" i="13" s="1"/>
  <c r="J163" i="13"/>
  <c r="N163" i="13" s="1"/>
  <c r="P163" i="13" s="1"/>
  <c r="H70" i="13"/>
  <c r="H78" i="13" s="1"/>
  <c r="W23" i="7" s="1"/>
  <c r="I315" i="13"/>
  <c r="M315" i="13" s="1"/>
  <c r="M332" i="13" s="1"/>
  <c r="H332" i="13"/>
  <c r="I87" i="13"/>
  <c r="M87" i="13" s="1"/>
  <c r="M98" i="13" s="1"/>
  <c r="I63" i="13"/>
  <c r="M63" i="13" s="1"/>
  <c r="M74" i="13" s="1"/>
  <c r="M111" i="13"/>
  <c r="M122" i="13" s="1"/>
  <c r="I313" i="13"/>
  <c r="M313" i="13" s="1"/>
  <c r="M330" i="13" s="1"/>
  <c r="H330" i="13"/>
  <c r="E46" i="13"/>
  <c r="J135" i="13"/>
  <c r="L135" i="13"/>
  <c r="L137" i="13"/>
  <c r="J137" i="13"/>
  <c r="J193" i="13"/>
  <c r="L193" i="13"/>
  <c r="L147" i="13"/>
  <c r="N147" i="13" s="1"/>
  <c r="H382" i="13"/>
  <c r="L149" i="13"/>
  <c r="J149" i="13"/>
  <c r="I153" i="13"/>
  <c r="I85" i="13"/>
  <c r="M85" i="13" s="1"/>
  <c r="M96" i="13" s="1"/>
  <c r="L151" i="13"/>
  <c r="J151" i="13"/>
  <c r="H170" i="2"/>
  <c r="J150" i="2"/>
  <c r="K150" i="2"/>
  <c r="I354" i="13" l="1"/>
  <c r="O311" i="13"/>
  <c r="O328" i="13" s="1"/>
  <c r="P328" i="13" s="1"/>
  <c r="I460" i="13"/>
  <c r="O421" i="13"/>
  <c r="P421" i="13" s="1"/>
  <c r="N375" i="13"/>
  <c r="N371" i="13" s="1"/>
  <c r="O371" i="13" s="1"/>
  <c r="O369" i="13"/>
  <c r="P369" i="13" s="1"/>
  <c r="O317" i="13"/>
  <c r="P317" i="13" s="1"/>
  <c r="Q311" i="13"/>
  <c r="R311" i="13" s="1"/>
  <c r="S311" i="13" s="1"/>
  <c r="U319" i="13" s="1"/>
  <c r="N274" i="13"/>
  <c r="N270" i="13" s="1"/>
  <c r="O270" i="13" s="1"/>
  <c r="Q317" i="13"/>
  <c r="R317" i="13" s="1"/>
  <c r="S317" i="13" s="1"/>
  <c r="R334" i="13" s="1"/>
  <c r="Q369" i="13"/>
  <c r="R369" i="13" s="1"/>
  <c r="S369" i="13" s="1"/>
  <c r="R386" i="13" s="1"/>
  <c r="K297" i="13"/>
  <c r="N297" i="13"/>
  <c r="P297" i="13" s="1"/>
  <c r="L449" i="13"/>
  <c r="J449" i="13"/>
  <c r="N455" i="13"/>
  <c r="P455" i="13" s="1"/>
  <c r="K455" i="13"/>
  <c r="L345" i="13"/>
  <c r="J345" i="13"/>
  <c r="J293" i="13"/>
  <c r="L293" i="13"/>
  <c r="K397" i="13"/>
  <c r="N397" i="13"/>
  <c r="P397" i="13" s="1"/>
  <c r="N403" i="13"/>
  <c r="P403" i="13" s="1"/>
  <c r="K403" i="13"/>
  <c r="N295" i="13"/>
  <c r="P295" i="13" s="1"/>
  <c r="K295" i="13"/>
  <c r="Q421" i="13"/>
  <c r="R421" i="13" s="1"/>
  <c r="S421" i="13" s="1"/>
  <c r="R438" i="13" s="1"/>
  <c r="N325" i="13"/>
  <c r="N321" i="13" s="1"/>
  <c r="O321" i="13" s="1"/>
  <c r="Q415" i="13"/>
  <c r="R415" i="13" s="1"/>
  <c r="S415" i="13" s="1"/>
  <c r="N401" i="13"/>
  <c r="P401" i="13" s="1"/>
  <c r="K401" i="13"/>
  <c r="K299" i="13"/>
  <c r="N304" i="13" s="1"/>
  <c r="O304" i="13" s="1"/>
  <c r="N299" i="13"/>
  <c r="P299" i="13" s="1"/>
  <c r="N349" i="13"/>
  <c r="P349" i="13" s="1"/>
  <c r="K349" i="13"/>
  <c r="Q419" i="13"/>
  <c r="R419" i="13" s="1"/>
  <c r="S419" i="13" s="1"/>
  <c r="T419" i="13" s="1"/>
  <c r="N428" i="13"/>
  <c r="N424" i="13" s="1"/>
  <c r="O424" i="13" s="1"/>
  <c r="N453" i="13"/>
  <c r="P453" i="13" s="1"/>
  <c r="K453" i="13"/>
  <c r="K399" i="13"/>
  <c r="N399" i="13"/>
  <c r="P399" i="13" s="1"/>
  <c r="K451" i="13"/>
  <c r="N451" i="13"/>
  <c r="P451" i="13" s="1"/>
  <c r="K351" i="13"/>
  <c r="N351" i="13"/>
  <c r="P351" i="13" s="1"/>
  <c r="N347" i="13"/>
  <c r="P347" i="13" s="1"/>
  <c r="K347" i="13"/>
  <c r="N429" i="13"/>
  <c r="N425" i="13" s="1"/>
  <c r="O425" i="13" s="1"/>
  <c r="E436" i="13"/>
  <c r="I380" i="13"/>
  <c r="O363" i="13"/>
  <c r="N377" i="13"/>
  <c r="N373" i="13" s="1"/>
  <c r="O373" i="13" s="1"/>
  <c r="Q363" i="13"/>
  <c r="R363" i="13" s="1"/>
  <c r="S363" i="13" s="1"/>
  <c r="N376" i="13"/>
  <c r="N372" i="13" s="1"/>
  <c r="O372" i="13" s="1"/>
  <c r="E384" i="13"/>
  <c r="E386" i="13"/>
  <c r="O313" i="13"/>
  <c r="P311" i="13"/>
  <c r="Q313" i="13"/>
  <c r="R313" i="13" s="1"/>
  <c r="S313" i="13" s="1"/>
  <c r="N319" i="13"/>
  <c r="O319" i="13" s="1"/>
  <c r="Q315" i="13"/>
  <c r="R315" i="13" s="1"/>
  <c r="S315" i="13" s="1"/>
  <c r="O315" i="13"/>
  <c r="N324" i="13"/>
  <c r="N320" i="13" s="1"/>
  <c r="O320" i="13" s="1"/>
  <c r="E332" i="13"/>
  <c r="N273" i="13"/>
  <c r="N269" i="13" s="1"/>
  <c r="O269" i="13" s="1"/>
  <c r="Q261" i="13"/>
  <c r="R261" i="13" s="1"/>
  <c r="S261" i="13" s="1"/>
  <c r="R278" i="13" s="1"/>
  <c r="N271" i="13"/>
  <c r="N267" i="13" s="1"/>
  <c r="O267" i="13" s="1"/>
  <c r="M278" i="13"/>
  <c r="N272" i="13"/>
  <c r="N268" i="13" s="1"/>
  <c r="O268" i="13" s="1"/>
  <c r="E280" i="13"/>
  <c r="O265" i="13"/>
  <c r="O282" i="13" s="1"/>
  <c r="P282" i="13" s="1"/>
  <c r="O259" i="13"/>
  <c r="O276" i="13" s="1"/>
  <c r="P276" i="13" s="1"/>
  <c r="Q265" i="13"/>
  <c r="R265" i="13" s="1"/>
  <c r="S265" i="13" s="1"/>
  <c r="R282" i="13" s="1"/>
  <c r="Q259" i="13"/>
  <c r="R259" i="13" s="1"/>
  <c r="S259" i="13" s="1"/>
  <c r="N242" i="13"/>
  <c r="P242" i="13" s="1"/>
  <c r="K242" i="13"/>
  <c r="K240" i="13"/>
  <c r="N240" i="13"/>
  <c r="P240" i="13" s="1"/>
  <c r="K244" i="13"/>
  <c r="N244" i="13"/>
  <c r="P244" i="13" s="1"/>
  <c r="K246" i="13"/>
  <c r="N246" i="13"/>
  <c r="P246" i="13" s="1"/>
  <c r="N218" i="13"/>
  <c r="N214" i="13" s="1"/>
  <c r="O214" i="13" s="1"/>
  <c r="M227" i="13"/>
  <c r="O210" i="13"/>
  <c r="Q208" i="13"/>
  <c r="M225" i="13"/>
  <c r="O206" i="13"/>
  <c r="O223" i="13" s="1"/>
  <c r="P223" i="13" s="1"/>
  <c r="Q206" i="13"/>
  <c r="R206" i="13" s="1"/>
  <c r="S206" i="13" s="1"/>
  <c r="U214" i="13" s="1"/>
  <c r="N219" i="13"/>
  <c r="N215" i="13" s="1"/>
  <c r="O215" i="13" s="1"/>
  <c r="N221" i="13"/>
  <c r="N217" i="13" s="1"/>
  <c r="O217" i="13" s="1"/>
  <c r="E227" i="13"/>
  <c r="O212" i="13"/>
  <c r="O229" i="13" s="1"/>
  <c r="P229" i="13" s="1"/>
  <c r="Q212" i="13"/>
  <c r="R212" i="13" s="1"/>
  <c r="O208" i="13"/>
  <c r="Q210" i="13"/>
  <c r="N191" i="13"/>
  <c r="P191" i="13" s="1"/>
  <c r="N193" i="13"/>
  <c r="P193" i="13" s="1"/>
  <c r="I169" i="13"/>
  <c r="L189" i="13"/>
  <c r="J189" i="13"/>
  <c r="N195" i="13"/>
  <c r="P195" i="13" s="1"/>
  <c r="K195" i="13"/>
  <c r="N177" i="13"/>
  <c r="P177" i="13" s="1"/>
  <c r="K177" i="13"/>
  <c r="K179" i="13"/>
  <c r="N179" i="13"/>
  <c r="P179" i="13" s="1"/>
  <c r="K175" i="13"/>
  <c r="N175" i="13"/>
  <c r="P175" i="13" s="1"/>
  <c r="I181" i="13"/>
  <c r="K161" i="13"/>
  <c r="Q161" i="13" s="1"/>
  <c r="N161" i="13"/>
  <c r="P161" i="13" s="1"/>
  <c r="K167" i="13"/>
  <c r="H141" i="13"/>
  <c r="U42" i="7" s="1"/>
  <c r="Q147" i="13"/>
  <c r="R147" i="13" s="1"/>
  <c r="S147" i="13" s="1"/>
  <c r="T147" i="13" s="1"/>
  <c r="L153" i="13"/>
  <c r="J153" i="13"/>
  <c r="K133" i="13"/>
  <c r="N133" i="13"/>
  <c r="P133" i="13" s="1"/>
  <c r="E118" i="13"/>
  <c r="E120" i="13" s="1"/>
  <c r="E122" i="13" s="1"/>
  <c r="E124" i="13" s="1"/>
  <c r="N139" i="13"/>
  <c r="P139" i="13" s="1"/>
  <c r="K139" i="13"/>
  <c r="M120" i="13"/>
  <c r="E94" i="13"/>
  <c r="E96" i="13" s="1"/>
  <c r="E98" i="13" s="1"/>
  <c r="W29" i="7"/>
  <c r="L113" i="13"/>
  <c r="L89" i="13"/>
  <c r="M28" i="13"/>
  <c r="I19" i="13"/>
  <c r="H67" i="13"/>
  <c r="U24" i="7" s="1"/>
  <c r="I67" i="13"/>
  <c r="M24" i="13"/>
  <c r="H76" i="13"/>
  <c r="L65" i="13"/>
  <c r="E48" i="13"/>
  <c r="E50" i="13" s="1"/>
  <c r="E52" i="13" s="1"/>
  <c r="H43" i="13"/>
  <c r="U18" i="7" s="1"/>
  <c r="I43" i="13"/>
  <c r="M26" i="13"/>
  <c r="L41" i="13"/>
  <c r="I406" i="13"/>
  <c r="K191" i="13"/>
  <c r="N151" i="13"/>
  <c r="P151" i="13" s="1"/>
  <c r="K151" i="13"/>
  <c r="K149" i="13"/>
  <c r="N149" i="13"/>
  <c r="P149" i="13" s="1"/>
  <c r="P147" i="13"/>
  <c r="O415" i="13"/>
  <c r="K163" i="13"/>
  <c r="I91" i="13"/>
  <c r="K135" i="13"/>
  <c r="N135" i="13"/>
  <c r="P135" i="13" s="1"/>
  <c r="O417" i="13"/>
  <c r="K193" i="13"/>
  <c r="K137" i="13"/>
  <c r="N137" i="13"/>
  <c r="P137" i="13" s="1"/>
  <c r="O419" i="13"/>
  <c r="O436" i="13" s="1"/>
  <c r="P436" i="13" s="1"/>
  <c r="K165" i="13"/>
  <c r="Q417" i="13"/>
  <c r="R417" i="13" s="1"/>
  <c r="S417" i="13" s="1"/>
  <c r="B142" i="2"/>
  <c r="AM146" i="2" s="1"/>
  <c r="O386" i="13" l="1"/>
  <c r="P386" i="13" s="1"/>
  <c r="T317" i="13"/>
  <c r="V317" i="13" s="1"/>
  <c r="G17" i="13"/>
  <c r="G26" i="13"/>
  <c r="G15" i="13"/>
  <c r="G24" i="13"/>
  <c r="G11" i="13"/>
  <c r="G22" i="13"/>
  <c r="H30" i="13" s="1"/>
  <c r="W11" i="7" s="1"/>
  <c r="G13" i="13"/>
  <c r="O438" i="13"/>
  <c r="P438" i="13" s="1"/>
  <c r="O334" i="13"/>
  <c r="P334" i="13" s="1"/>
  <c r="T369" i="13"/>
  <c r="V369" i="13" s="1"/>
  <c r="U369" i="13"/>
  <c r="J386" i="13" s="1"/>
  <c r="K386" i="13" s="1"/>
  <c r="U421" i="13"/>
  <c r="W421" i="13" s="1"/>
  <c r="T421" i="13"/>
  <c r="V421" i="13" s="1"/>
  <c r="T311" i="13"/>
  <c r="V311" i="13" s="1"/>
  <c r="R436" i="13"/>
  <c r="Q299" i="13"/>
  <c r="R299" i="13" s="1"/>
  <c r="S299" i="13" s="1"/>
  <c r="T299" i="13" s="1"/>
  <c r="U299" i="13" s="1"/>
  <c r="V299" i="13" s="1"/>
  <c r="Z304" i="13" s="1"/>
  <c r="AA304" i="13" s="1"/>
  <c r="R328" i="13"/>
  <c r="U311" i="13"/>
  <c r="W311" i="13" s="1"/>
  <c r="N356" i="13"/>
  <c r="O356" i="13" s="1"/>
  <c r="Q351" i="13"/>
  <c r="R351" i="13" s="1"/>
  <c r="S351" i="13" s="1"/>
  <c r="T351" i="13" s="1"/>
  <c r="U351" i="13" s="1"/>
  <c r="K293" i="13"/>
  <c r="N293" i="13"/>
  <c r="P293" i="13" s="1"/>
  <c r="R276" i="13"/>
  <c r="U267" i="13"/>
  <c r="N460" i="13"/>
  <c r="O460" i="13" s="1"/>
  <c r="Q455" i="13"/>
  <c r="R455" i="13" s="1"/>
  <c r="S455" i="13" s="1"/>
  <c r="T455" i="13" s="1"/>
  <c r="U455" i="13" s="1"/>
  <c r="N449" i="13"/>
  <c r="P449" i="13" s="1"/>
  <c r="K449" i="13"/>
  <c r="Q399" i="13"/>
  <c r="R399" i="13" s="1"/>
  <c r="S399" i="13" s="1"/>
  <c r="T399" i="13" s="1"/>
  <c r="U399" i="13" s="1"/>
  <c r="N302" i="13"/>
  <c r="O302" i="13" s="1"/>
  <c r="Q295" i="13"/>
  <c r="R295" i="13" s="1"/>
  <c r="S295" i="13" s="1"/>
  <c r="T295" i="13" s="1"/>
  <c r="U295" i="13" s="1"/>
  <c r="V295" i="13" s="1"/>
  <c r="Z302" i="13" s="1"/>
  <c r="AA302" i="13" s="1"/>
  <c r="N354" i="13"/>
  <c r="O354" i="13" s="1"/>
  <c r="Q347" i="13"/>
  <c r="R347" i="13" s="1"/>
  <c r="S347" i="13" s="1"/>
  <c r="T347" i="13" s="1"/>
  <c r="U347" i="13" s="1"/>
  <c r="N459" i="13"/>
  <c r="O459" i="13" s="1"/>
  <c r="Q453" i="13"/>
  <c r="R453" i="13" s="1"/>
  <c r="S453" i="13" s="1"/>
  <c r="T453" i="13" s="1"/>
  <c r="U453" i="13" s="1"/>
  <c r="N345" i="13"/>
  <c r="P345" i="13" s="1"/>
  <c r="K345" i="13"/>
  <c r="N458" i="13"/>
  <c r="O458" i="13" s="1"/>
  <c r="Q451" i="13"/>
  <c r="R451" i="13" s="1"/>
  <c r="S451" i="13" s="1"/>
  <c r="T451" i="13" s="1"/>
  <c r="U451" i="13" s="1"/>
  <c r="N355" i="13"/>
  <c r="O355" i="13" s="1"/>
  <c r="Q349" i="13"/>
  <c r="R349" i="13" s="1"/>
  <c r="S349" i="13" s="1"/>
  <c r="T349" i="13" s="1"/>
  <c r="U349" i="13" s="1"/>
  <c r="Q401" i="13"/>
  <c r="R401" i="13" s="1"/>
  <c r="S401" i="13" s="1"/>
  <c r="T401" i="13" s="1"/>
  <c r="U401" i="13" s="1"/>
  <c r="N408" i="13"/>
  <c r="O408" i="13" s="1"/>
  <c r="Q403" i="13"/>
  <c r="R403" i="13" s="1"/>
  <c r="S403" i="13" s="1"/>
  <c r="T403" i="13" s="1"/>
  <c r="U403" i="13" s="1"/>
  <c r="N405" i="13"/>
  <c r="O405" i="13" s="1"/>
  <c r="Q397" i="13"/>
  <c r="R397" i="13" s="1"/>
  <c r="S397" i="13" s="1"/>
  <c r="T397" i="13" s="1"/>
  <c r="U397" i="13" s="1"/>
  <c r="N303" i="13"/>
  <c r="O303" i="13" s="1"/>
  <c r="Q297" i="13"/>
  <c r="R297" i="13" s="1"/>
  <c r="S297" i="13" s="1"/>
  <c r="T297" i="13" s="1"/>
  <c r="U297" i="13" s="1"/>
  <c r="U423" i="13"/>
  <c r="R432" i="13"/>
  <c r="T415" i="13"/>
  <c r="O432" i="13"/>
  <c r="P432" i="13" s="1"/>
  <c r="P415" i="13"/>
  <c r="U415" i="13" s="1"/>
  <c r="R434" i="13"/>
  <c r="T417" i="13"/>
  <c r="O434" i="13"/>
  <c r="P434" i="13" s="1"/>
  <c r="P417" i="13"/>
  <c r="U417" i="13" s="1"/>
  <c r="E438" i="13"/>
  <c r="R380" i="13"/>
  <c r="U371" i="13"/>
  <c r="T363" i="13"/>
  <c r="P363" i="13"/>
  <c r="U363" i="13" s="1"/>
  <c r="O380" i="13"/>
  <c r="P380" i="13" s="1"/>
  <c r="P315" i="13"/>
  <c r="O332" i="13"/>
  <c r="P332" i="13" s="1"/>
  <c r="T315" i="13"/>
  <c r="R332" i="13"/>
  <c r="R330" i="13"/>
  <c r="T313" i="13"/>
  <c r="O330" i="13"/>
  <c r="P330" i="13" s="1"/>
  <c r="P313" i="13"/>
  <c r="U313" i="13" s="1"/>
  <c r="U317" i="13"/>
  <c r="E334" i="13"/>
  <c r="T261" i="13"/>
  <c r="V261" i="13" s="1"/>
  <c r="E282" i="13"/>
  <c r="T265" i="13"/>
  <c r="P265" i="13"/>
  <c r="T259" i="13"/>
  <c r="P259" i="13"/>
  <c r="U259" i="13" s="1"/>
  <c r="N251" i="13"/>
  <c r="O251" i="13" s="1"/>
  <c r="Q246" i="13"/>
  <c r="R246" i="13" s="1"/>
  <c r="S246" i="13" s="1"/>
  <c r="T246" i="13" s="1"/>
  <c r="U246" i="13" s="1"/>
  <c r="N248" i="13"/>
  <c r="O248" i="13" s="1"/>
  <c r="Q240" i="13"/>
  <c r="R240" i="13" s="1"/>
  <c r="S240" i="13" s="1"/>
  <c r="T240" i="13" s="1"/>
  <c r="U240" i="13" s="1"/>
  <c r="N249" i="13"/>
  <c r="O249" i="13" s="1"/>
  <c r="Q242" i="13"/>
  <c r="R242" i="13" s="1"/>
  <c r="S242" i="13" s="1"/>
  <c r="T242" i="13" s="1"/>
  <c r="U242" i="13" s="1"/>
  <c r="N250" i="13"/>
  <c r="O250" i="13" s="1"/>
  <c r="Q244" i="13"/>
  <c r="R244" i="13" s="1"/>
  <c r="S244" i="13" s="1"/>
  <c r="T244" i="13" s="1"/>
  <c r="U244" i="13" s="1"/>
  <c r="P206" i="13"/>
  <c r="U206" i="13" s="1"/>
  <c r="T206" i="13"/>
  <c r="R223" i="13"/>
  <c r="P210" i="13"/>
  <c r="O227" i="13"/>
  <c r="P227" i="13" s="1"/>
  <c r="P208" i="13"/>
  <c r="O225" i="13"/>
  <c r="P225" i="13" s="1"/>
  <c r="E229" i="13"/>
  <c r="S212" i="13"/>
  <c r="R229" i="13" s="1"/>
  <c r="P212" i="13"/>
  <c r="Q179" i="13"/>
  <c r="R179" i="13" s="1"/>
  <c r="S179" i="13" s="1"/>
  <c r="T179" i="13" s="1"/>
  <c r="K189" i="13"/>
  <c r="N189" i="13"/>
  <c r="P189" i="13" s="1"/>
  <c r="Q191" i="13"/>
  <c r="R191" i="13" s="1"/>
  <c r="S191" i="13" s="1"/>
  <c r="Q177" i="13"/>
  <c r="R177" i="13" s="1"/>
  <c r="S177" i="13" s="1"/>
  <c r="T177" i="13" s="1"/>
  <c r="Q193" i="13"/>
  <c r="R193" i="13" s="1"/>
  <c r="S193" i="13" s="1"/>
  <c r="Q195" i="13"/>
  <c r="R195" i="13" s="1"/>
  <c r="S195" i="13" s="1"/>
  <c r="L181" i="13"/>
  <c r="J181" i="13"/>
  <c r="Q175" i="13"/>
  <c r="R175" i="13" s="1"/>
  <c r="S175" i="13" s="1"/>
  <c r="R161" i="13"/>
  <c r="S161" i="13" s="1"/>
  <c r="Q163" i="13"/>
  <c r="R163" i="13" s="1"/>
  <c r="S163" i="13" s="1"/>
  <c r="Q165" i="13"/>
  <c r="R165" i="13" s="1"/>
  <c r="S165" i="13" s="1"/>
  <c r="Q167" i="13"/>
  <c r="R167" i="13" s="1"/>
  <c r="S167" i="13" s="1"/>
  <c r="U147" i="13"/>
  <c r="Q149" i="13"/>
  <c r="R149" i="13" s="1"/>
  <c r="S149" i="13" s="1"/>
  <c r="T149" i="13" s="1"/>
  <c r="Q151" i="13"/>
  <c r="R151" i="13" s="1"/>
  <c r="S151" i="13" s="1"/>
  <c r="T151" i="13" s="1"/>
  <c r="N153" i="13"/>
  <c r="P153" i="13" s="1"/>
  <c r="K153" i="13"/>
  <c r="Q137" i="13"/>
  <c r="R137" i="13" s="1"/>
  <c r="S137" i="13" s="1"/>
  <c r="T137" i="13" s="1"/>
  <c r="Q135" i="13"/>
  <c r="R135" i="13" s="1"/>
  <c r="S135" i="13" s="1"/>
  <c r="T135" i="13" s="1"/>
  <c r="Q139" i="13"/>
  <c r="R139" i="13" s="1"/>
  <c r="S139" i="13" s="1"/>
  <c r="T139" i="13" s="1"/>
  <c r="U139" i="13" s="1"/>
  <c r="Q133" i="13"/>
  <c r="R133" i="13" s="1"/>
  <c r="S133" i="13" s="1"/>
  <c r="Q113" i="13"/>
  <c r="R113" i="13" s="1"/>
  <c r="S113" i="13" s="1"/>
  <c r="O113" i="13"/>
  <c r="E100" i="13"/>
  <c r="H100" i="13"/>
  <c r="I89" i="13"/>
  <c r="M89" i="13" s="1"/>
  <c r="Q89" i="13" s="1"/>
  <c r="R89" i="13" s="1"/>
  <c r="S89" i="13" s="1"/>
  <c r="E70" i="13"/>
  <c r="G74" i="13"/>
  <c r="L59" i="13"/>
  <c r="G61" i="13"/>
  <c r="G63" i="13"/>
  <c r="G72" i="13"/>
  <c r="I76" i="13"/>
  <c r="I65" i="13"/>
  <c r="M65" i="13" s="1"/>
  <c r="I41" i="13"/>
  <c r="M41" i="13" s="1"/>
  <c r="P419" i="13"/>
  <c r="U419" i="13" s="1"/>
  <c r="N406" i="13"/>
  <c r="O406" i="13" s="1"/>
  <c r="N407" i="13"/>
  <c r="O407" i="13" s="1"/>
  <c r="I51" i="8"/>
  <c r="I43" i="8"/>
  <c r="I31" i="8"/>
  <c r="I23" i="8"/>
  <c r="I15" i="8"/>
  <c r="I14" i="8"/>
  <c r="I13" i="8"/>
  <c r="F24" i="4"/>
  <c r="F25" i="4"/>
  <c r="F16" i="4"/>
  <c r="F17" i="4"/>
  <c r="F45" i="4"/>
  <c r="F44" i="4"/>
  <c r="F43" i="4"/>
  <c r="F39" i="4"/>
  <c r="F38" i="4"/>
  <c r="F37" i="4"/>
  <c r="S386" i="13" l="1"/>
  <c r="E22" i="13"/>
  <c r="E24" i="13" s="1"/>
  <c r="E26" i="13" s="1"/>
  <c r="E28" i="13" s="1"/>
  <c r="S328" i="13"/>
  <c r="L13" i="13"/>
  <c r="J13" i="13"/>
  <c r="I24" i="13" s="1"/>
  <c r="L15" i="13"/>
  <c r="J15" i="13"/>
  <c r="I26" i="13" s="1"/>
  <c r="L11" i="13"/>
  <c r="J11" i="13"/>
  <c r="I22" i="13" s="1"/>
  <c r="J17" i="13"/>
  <c r="I28" i="13" s="1"/>
  <c r="L17" i="13"/>
  <c r="J328" i="13"/>
  <c r="K328" i="13" s="1"/>
  <c r="L328" i="13" s="1"/>
  <c r="J438" i="13"/>
  <c r="K438" i="13" s="1"/>
  <c r="L438" i="13" s="1"/>
  <c r="W369" i="13"/>
  <c r="X369" i="13" s="1"/>
  <c r="Y369" i="13" s="1"/>
  <c r="S438" i="13"/>
  <c r="X299" i="13"/>
  <c r="AB299" i="13" s="1"/>
  <c r="X295" i="13"/>
  <c r="AB295" i="13" s="1"/>
  <c r="V349" i="13"/>
  <c r="Z355" i="13" s="1"/>
  <c r="AA355" i="13" s="1"/>
  <c r="V399" i="13"/>
  <c r="Z406" i="13" s="1"/>
  <c r="AA406" i="13" s="1"/>
  <c r="V455" i="13"/>
  <c r="Z460" i="13" s="1"/>
  <c r="AA460" i="13" s="1"/>
  <c r="V351" i="13"/>
  <c r="Z356" i="13" s="1"/>
  <c r="AA356" i="13" s="1"/>
  <c r="V397" i="13"/>
  <c r="Z405" i="13" s="1"/>
  <c r="AA405" i="13" s="1"/>
  <c r="V403" i="13"/>
  <c r="Z408" i="13" s="1"/>
  <c r="AA408" i="13" s="1"/>
  <c r="V347" i="13"/>
  <c r="Z354" i="13" s="1"/>
  <c r="AA354" i="13" s="1"/>
  <c r="N353" i="13"/>
  <c r="O353" i="13" s="1"/>
  <c r="Q345" i="13"/>
  <c r="R345" i="13" s="1"/>
  <c r="S345" i="13" s="1"/>
  <c r="T345" i="13" s="1"/>
  <c r="U345" i="13" s="1"/>
  <c r="V401" i="13"/>
  <c r="N301" i="13"/>
  <c r="O301" i="13" s="1"/>
  <c r="Q293" i="13"/>
  <c r="R293" i="13" s="1"/>
  <c r="S293" i="13" s="1"/>
  <c r="T293" i="13" s="1"/>
  <c r="U293" i="13" s="1"/>
  <c r="V297" i="13"/>
  <c r="X297" i="13" s="1"/>
  <c r="AB297" i="13" s="1"/>
  <c r="N457" i="13"/>
  <c r="O457" i="13" s="1"/>
  <c r="Q449" i="13"/>
  <c r="R449" i="13" s="1"/>
  <c r="S449" i="13" s="1"/>
  <c r="T449" i="13" s="1"/>
  <c r="U449" i="13" s="1"/>
  <c r="S432" i="13"/>
  <c r="J432" i="13"/>
  <c r="K432" i="13" s="1"/>
  <c r="S434" i="13"/>
  <c r="J434" i="13"/>
  <c r="K434" i="13" s="1"/>
  <c r="L434" i="13" s="1"/>
  <c r="Q434" i="13" s="1"/>
  <c r="X421" i="13"/>
  <c r="S436" i="13"/>
  <c r="J436" i="13"/>
  <c r="K436" i="13" s="1"/>
  <c r="L436" i="13" s="1"/>
  <c r="W415" i="13"/>
  <c r="V415" i="13"/>
  <c r="S380" i="13"/>
  <c r="J380" i="13"/>
  <c r="K380" i="13" s="1"/>
  <c r="W363" i="13"/>
  <c r="V363" i="13"/>
  <c r="L386" i="13"/>
  <c r="X311" i="13"/>
  <c r="Y311" i="13" s="1"/>
  <c r="AA311" i="13" s="1"/>
  <c r="S330" i="13"/>
  <c r="J330" i="13"/>
  <c r="K330" i="13" s="1"/>
  <c r="S334" i="13"/>
  <c r="J334" i="13"/>
  <c r="K334" i="13" s="1"/>
  <c r="W313" i="13"/>
  <c r="W317" i="13"/>
  <c r="X317" i="13" s="1"/>
  <c r="U315" i="13"/>
  <c r="W315" i="13" s="1"/>
  <c r="V315" i="13"/>
  <c r="V313" i="13"/>
  <c r="S276" i="13"/>
  <c r="J276" i="13"/>
  <c r="K276" i="13" s="1"/>
  <c r="V265" i="13"/>
  <c r="W259" i="13"/>
  <c r="V259" i="13"/>
  <c r="U265" i="13"/>
  <c r="W265" i="13" s="1"/>
  <c r="V246" i="13"/>
  <c r="Z251" i="13" s="1"/>
  <c r="AA251" i="13" s="1"/>
  <c r="V240" i="13"/>
  <c r="X240" i="13" s="1"/>
  <c r="AB240" i="13" s="1"/>
  <c r="W206" i="13"/>
  <c r="J223" i="13"/>
  <c r="K223" i="13" s="1"/>
  <c r="S223" i="13"/>
  <c r="U212" i="13"/>
  <c r="T212" i="13"/>
  <c r="V212" i="13" s="1"/>
  <c r="T191" i="13"/>
  <c r="T193" i="13"/>
  <c r="T195" i="13"/>
  <c r="U195" i="13" s="1"/>
  <c r="Q189" i="13"/>
  <c r="R189" i="13" s="1"/>
  <c r="S189" i="13" s="1"/>
  <c r="T175" i="13"/>
  <c r="K181" i="13"/>
  <c r="N181" i="13"/>
  <c r="P181" i="13" s="1"/>
  <c r="T165" i="13"/>
  <c r="U165" i="13" s="1"/>
  <c r="T167" i="13"/>
  <c r="U167" i="13" s="1"/>
  <c r="T163" i="13"/>
  <c r="U163" i="13" s="1"/>
  <c r="T161" i="13"/>
  <c r="U161" i="13" s="1"/>
  <c r="V147" i="13"/>
  <c r="Q153" i="13"/>
  <c r="R153" i="13" s="1"/>
  <c r="S153" i="13" s="1"/>
  <c r="T153" i="13" s="1"/>
  <c r="U153" i="13" s="1"/>
  <c r="V139" i="13"/>
  <c r="T133" i="13"/>
  <c r="T113" i="13"/>
  <c r="V113" i="13" s="1"/>
  <c r="P113" i="13"/>
  <c r="U113" i="13" s="1"/>
  <c r="O124" i="13"/>
  <c r="P124" i="13" s="1"/>
  <c r="R124" i="13"/>
  <c r="T89" i="13"/>
  <c r="R100" i="13"/>
  <c r="M100" i="13"/>
  <c r="I100" i="13"/>
  <c r="O89" i="13"/>
  <c r="Q59" i="13"/>
  <c r="L63" i="13"/>
  <c r="J63" i="13"/>
  <c r="L61" i="13"/>
  <c r="J61" i="13"/>
  <c r="E72" i="13"/>
  <c r="E74" i="13" s="1"/>
  <c r="E76" i="13" s="1"/>
  <c r="M76" i="13"/>
  <c r="Q65" i="13"/>
  <c r="R65" i="13" s="1"/>
  <c r="S65" i="13" s="1"/>
  <c r="O65" i="13"/>
  <c r="M52" i="13"/>
  <c r="O41" i="13"/>
  <c r="Q41" i="13"/>
  <c r="R41" i="13" s="1"/>
  <c r="S41" i="13" s="1"/>
  <c r="R52" i="13" s="1"/>
  <c r="G46" i="4"/>
  <c r="H39" i="5" s="1"/>
  <c r="G40" i="4"/>
  <c r="H38" i="5" s="1"/>
  <c r="X455" i="13" l="1"/>
  <c r="AB455" i="13" s="1"/>
  <c r="Q17" i="13"/>
  <c r="R17" i="13" s="1"/>
  <c r="S17" i="13" s="1"/>
  <c r="R28" i="13" s="1"/>
  <c r="F36" i="15"/>
  <c r="N36" i="15" s="1"/>
  <c r="AO38" i="5"/>
  <c r="F37" i="15"/>
  <c r="N37" i="15" s="1"/>
  <c r="AO39" i="5"/>
  <c r="O17" i="13"/>
  <c r="X403" i="13"/>
  <c r="AB403" i="13" s="1"/>
  <c r="X351" i="13"/>
  <c r="AB351" i="13" s="1"/>
  <c r="Y317" i="13"/>
  <c r="AA317" i="13" s="1"/>
  <c r="X334" i="13" s="1"/>
  <c r="AB334" i="13" s="1"/>
  <c r="Z407" i="13"/>
  <c r="AA407" i="13" s="1"/>
  <c r="X347" i="13"/>
  <c r="AB347" i="13" s="1"/>
  <c r="X397" i="13"/>
  <c r="AB397" i="13" s="1"/>
  <c r="X399" i="13"/>
  <c r="AB399" i="13" s="1"/>
  <c r="X349" i="13"/>
  <c r="AB349" i="13" s="1"/>
  <c r="X401" i="13"/>
  <c r="AB401" i="13" s="1"/>
  <c r="V449" i="13"/>
  <c r="Q438" i="13"/>
  <c r="V345" i="13"/>
  <c r="Z353" i="13" s="1"/>
  <c r="AA353" i="13" s="1"/>
  <c r="V293" i="13"/>
  <c r="X293" i="13" s="1"/>
  <c r="AB293" i="13" s="1"/>
  <c r="Z303" i="13"/>
  <c r="AA303" i="13" s="1"/>
  <c r="Q436" i="13"/>
  <c r="L432" i="13"/>
  <c r="Q432" i="13" s="1"/>
  <c r="Y421" i="13"/>
  <c r="AC421" i="13" s="1"/>
  <c r="X415" i="13"/>
  <c r="X363" i="13"/>
  <c r="Y363" i="13" s="1"/>
  <c r="AA363" i="13" s="1"/>
  <c r="X380" i="13" s="1"/>
  <c r="AB380" i="13" s="1"/>
  <c r="Z379" i="13"/>
  <c r="AA379" i="13" s="1"/>
  <c r="AA369" i="13"/>
  <c r="X386" i="13" s="1"/>
  <c r="AB386" i="13" s="1"/>
  <c r="AC369" i="13"/>
  <c r="AD369" i="13" s="1"/>
  <c r="AE369" i="13" s="1"/>
  <c r="L380" i="13"/>
  <c r="Q386" i="13"/>
  <c r="Q328" i="13"/>
  <c r="X328" i="13"/>
  <c r="AB328" i="13" s="1"/>
  <c r="AB311" i="13"/>
  <c r="AC311" i="13"/>
  <c r="J332" i="13"/>
  <c r="K332" i="13" s="1"/>
  <c r="S332" i="13"/>
  <c r="X313" i="13"/>
  <c r="X315" i="13"/>
  <c r="Z325" i="13"/>
  <c r="L330" i="13"/>
  <c r="Q330" i="13" s="1"/>
  <c r="L334" i="13"/>
  <c r="Q334" i="13" s="1"/>
  <c r="X259" i="13"/>
  <c r="J282" i="13"/>
  <c r="K282" i="13" s="1"/>
  <c r="L282" i="13" s="1"/>
  <c r="Q282" i="13" s="1"/>
  <c r="S282" i="13"/>
  <c r="L276" i="13"/>
  <c r="Q276" i="13" s="1"/>
  <c r="X265" i="13"/>
  <c r="X246" i="13"/>
  <c r="AB246" i="13" s="1"/>
  <c r="Z248" i="13"/>
  <c r="AA248" i="13" s="1"/>
  <c r="S229" i="13"/>
  <c r="J229" i="13"/>
  <c r="K229" i="13" s="1"/>
  <c r="L223" i="13"/>
  <c r="Q223" i="13" s="1"/>
  <c r="W212" i="13"/>
  <c r="X212" i="13" s="1"/>
  <c r="V195" i="13"/>
  <c r="X195" i="13" s="1"/>
  <c r="AB195" i="13" s="1"/>
  <c r="T189" i="13"/>
  <c r="U189" i="13" s="1"/>
  <c r="X147" i="13"/>
  <c r="AB147" i="13" s="1"/>
  <c r="Q181" i="13"/>
  <c r="R181" i="13" s="1"/>
  <c r="S181" i="13" s="1"/>
  <c r="T181" i="13" s="1"/>
  <c r="U181" i="13" s="1"/>
  <c r="V161" i="13"/>
  <c r="AC161" i="13" s="1"/>
  <c r="AD161" i="13" s="1"/>
  <c r="AE161" i="13" s="1"/>
  <c r="V167" i="13"/>
  <c r="AC167" i="13" s="1"/>
  <c r="AD167" i="13" s="1"/>
  <c r="AE167" i="13" s="1"/>
  <c r="V163" i="13"/>
  <c r="V165" i="13"/>
  <c r="AC139" i="13"/>
  <c r="AD139" i="13" s="1"/>
  <c r="AE139" i="13" s="1"/>
  <c r="V153" i="13"/>
  <c r="X153" i="13" s="1"/>
  <c r="AB153" i="13" s="1"/>
  <c r="X139" i="13"/>
  <c r="AB139" i="13" s="1"/>
  <c r="S124" i="13"/>
  <c r="W113" i="13"/>
  <c r="X113" i="13" s="1"/>
  <c r="J124" i="13"/>
  <c r="K124" i="13" s="1"/>
  <c r="V89" i="13"/>
  <c r="O100" i="13"/>
  <c r="P100" i="13" s="1"/>
  <c r="P89" i="13"/>
  <c r="O76" i="13"/>
  <c r="P76" i="13" s="1"/>
  <c r="P65" i="13"/>
  <c r="U65" i="13" s="1"/>
  <c r="R76" i="13"/>
  <c r="T65" i="13"/>
  <c r="V65" i="13" s="1"/>
  <c r="P41" i="13"/>
  <c r="U41" i="13" s="1"/>
  <c r="W41" i="13" s="1"/>
  <c r="O52" i="13"/>
  <c r="P52" i="13" s="1"/>
  <c r="T41" i="13"/>
  <c r="V41" i="13" s="1"/>
  <c r="H1" i="7"/>
  <c r="H1" i="4"/>
  <c r="J1" i="8"/>
  <c r="T17" i="13" l="1"/>
  <c r="V17" i="13" s="1"/>
  <c r="P17" i="13"/>
  <c r="O28" i="13"/>
  <c r="P28" i="13" s="1"/>
  <c r="AC317" i="13"/>
  <c r="AD317" i="13" s="1"/>
  <c r="AE317" i="13" s="1"/>
  <c r="AE334" i="13" s="1"/>
  <c r="Z328" i="13"/>
  <c r="Y259" i="13"/>
  <c r="Z272" i="13" s="1"/>
  <c r="AB369" i="13"/>
  <c r="AF369" i="13" s="1"/>
  <c r="AH369" i="13" s="1"/>
  <c r="AI369" i="13" s="1"/>
  <c r="X449" i="13"/>
  <c r="AB449" i="13" s="1"/>
  <c r="Q380" i="13"/>
  <c r="AB363" i="13"/>
  <c r="AC363" i="13"/>
  <c r="AD363" i="13" s="1"/>
  <c r="AE363" i="13" s="1"/>
  <c r="AE380" i="13" s="1"/>
  <c r="AD421" i="13"/>
  <c r="AE421" i="13" s="1"/>
  <c r="AE438" i="13" s="1"/>
  <c r="AC455" i="13"/>
  <c r="AD455" i="13" s="1"/>
  <c r="AE455" i="13" s="1"/>
  <c r="AF455" i="13" s="1"/>
  <c r="AG455" i="13" s="1"/>
  <c r="Z376" i="13"/>
  <c r="AA376" i="13" s="1"/>
  <c r="X345" i="13"/>
  <c r="AB345" i="13" s="1"/>
  <c r="Z457" i="13"/>
  <c r="AA457" i="13" s="1"/>
  <c r="Z301" i="13"/>
  <c r="AA301" i="13" s="1"/>
  <c r="AA421" i="13"/>
  <c r="Y415" i="13"/>
  <c r="Z431" i="13"/>
  <c r="AA431" i="13" s="1"/>
  <c r="AE386" i="13"/>
  <c r="AD311" i="13"/>
  <c r="AE311" i="13" s="1"/>
  <c r="AF311" i="13" s="1"/>
  <c r="AC345" i="13"/>
  <c r="AD345" i="13" s="1"/>
  <c r="AE345" i="13" s="1"/>
  <c r="L332" i="13"/>
  <c r="Q332" i="13" s="1"/>
  <c r="Y313" i="13"/>
  <c r="Z326" i="13" s="1"/>
  <c r="Y315" i="13"/>
  <c r="AA315" i="13" s="1"/>
  <c r="AA325" i="13"/>
  <c r="AC351" i="13"/>
  <c r="AD351" i="13" s="1"/>
  <c r="AE351" i="13" s="1"/>
  <c r="AF351" i="13" s="1"/>
  <c r="AG351" i="13" s="1"/>
  <c r="L229" i="13"/>
  <c r="Q229" i="13" s="1"/>
  <c r="AC403" i="13"/>
  <c r="AD403" i="13" s="1"/>
  <c r="AE403" i="13" s="1"/>
  <c r="AF403" i="13" s="1"/>
  <c r="AG403" i="13" s="1"/>
  <c r="AB317" i="13"/>
  <c r="Y265" i="13"/>
  <c r="Z275" i="13" s="1"/>
  <c r="AA275" i="13" s="1"/>
  <c r="Y212" i="13"/>
  <c r="AA212" i="13" s="1"/>
  <c r="X229" i="13" s="1"/>
  <c r="AB229" i="13" s="1"/>
  <c r="AC195" i="13"/>
  <c r="AD195" i="13" s="1"/>
  <c r="AE195" i="13" s="1"/>
  <c r="AF195" i="13" s="1"/>
  <c r="AG195" i="13" s="1"/>
  <c r="V189" i="13"/>
  <c r="X167" i="13"/>
  <c r="AB167" i="13" s="1"/>
  <c r="AF167" i="13" s="1"/>
  <c r="AG167" i="13" s="1"/>
  <c r="V181" i="13"/>
  <c r="X163" i="13"/>
  <c r="AB163" i="13" s="1"/>
  <c r="AF139" i="13"/>
  <c r="AG139" i="13" s="1"/>
  <c r="AH139" i="13" s="1"/>
  <c r="AC163" i="13"/>
  <c r="AD163" i="13" s="1"/>
  <c r="AE163" i="13" s="1"/>
  <c r="AC153" i="13"/>
  <c r="AD153" i="13" s="1"/>
  <c r="AE153" i="13" s="1"/>
  <c r="AF153" i="13" s="1"/>
  <c r="AG153" i="13" s="1"/>
  <c r="X165" i="13"/>
  <c r="AB165" i="13" s="1"/>
  <c r="AC165" i="13"/>
  <c r="AD165" i="13" s="1"/>
  <c r="AE165" i="13" s="1"/>
  <c r="X161" i="13"/>
  <c r="AB161" i="13" s="1"/>
  <c r="AF161" i="13" s="1"/>
  <c r="L124" i="13"/>
  <c r="Q124" i="13" s="1"/>
  <c r="Y113" i="13"/>
  <c r="U89" i="13"/>
  <c r="S76" i="13"/>
  <c r="J76" i="13"/>
  <c r="K76" i="13" s="1"/>
  <c r="W65" i="13"/>
  <c r="X65" i="13" s="1"/>
  <c r="S52" i="13"/>
  <c r="J52" i="13"/>
  <c r="K52" i="13" s="1"/>
  <c r="X41" i="13"/>
  <c r="B1" i="10"/>
  <c r="BO300" i="13" s="1"/>
  <c r="A305" i="2"/>
  <c r="C8" i="9"/>
  <c r="C20" i="9"/>
  <c r="C26" i="9"/>
  <c r="C25" i="9"/>
  <c r="C24" i="9"/>
  <c r="C23" i="9"/>
  <c r="C22" i="9"/>
  <c r="C21" i="9"/>
  <c r="C19" i="9"/>
  <c r="C17" i="9"/>
  <c r="C16" i="9"/>
  <c r="C15" i="9"/>
  <c r="C14" i="9"/>
  <c r="C13" i="9"/>
  <c r="C12" i="9"/>
  <c r="C10" i="9"/>
  <c r="C9" i="9"/>
  <c r="C7" i="9"/>
  <c r="U17" i="13" l="1"/>
  <c r="AS312" i="2"/>
  <c r="AS263" i="2"/>
  <c r="AS133" i="2"/>
  <c r="AS93" i="2"/>
  <c r="AS35" i="2"/>
  <c r="BE386" i="12"/>
  <c r="BE387" i="12" s="1"/>
  <c r="Q108" i="7" s="1"/>
  <c r="U27" i="5" s="1"/>
  <c r="BE249" i="12"/>
  <c r="BE137" i="12"/>
  <c r="BE81" i="12"/>
  <c r="BO475" i="13"/>
  <c r="BO476" i="13" s="1"/>
  <c r="Y116" i="7" s="1"/>
  <c r="AF29" i="5" s="1"/>
  <c r="BO404" i="13"/>
  <c r="BO175" i="13"/>
  <c r="BO133" i="13"/>
  <c r="BO47" i="13"/>
  <c r="J18" i="10"/>
  <c r="J25" i="10"/>
  <c r="J13" i="10"/>
  <c r="AS113" i="2"/>
  <c r="BE394" i="12"/>
  <c r="BE395" i="12" s="1"/>
  <c r="Q116" i="7" s="1"/>
  <c r="U29" i="5" s="1"/>
  <c r="BE161" i="12"/>
  <c r="BE113" i="12"/>
  <c r="BO467" i="13"/>
  <c r="BO468" i="13" s="1"/>
  <c r="Y108" i="7" s="1"/>
  <c r="AF27" i="5" s="1"/>
  <c r="BO147" i="13"/>
  <c r="BO23" i="13"/>
  <c r="J24" i="10"/>
  <c r="AS295" i="2"/>
  <c r="AS103" i="2"/>
  <c r="BE390" i="12"/>
  <c r="BE391" i="12" s="1"/>
  <c r="Q112" i="7" s="1"/>
  <c r="U28" i="5" s="1"/>
  <c r="BE149" i="12"/>
  <c r="BO458" i="13"/>
  <c r="AS308" i="2"/>
  <c r="AS309" i="2" s="1"/>
  <c r="AS231" i="2"/>
  <c r="AS123" i="2"/>
  <c r="AS83" i="2"/>
  <c r="AS19" i="2"/>
  <c r="BE377" i="12"/>
  <c r="BE207" i="12"/>
  <c r="BE125" i="12"/>
  <c r="BE61" i="12"/>
  <c r="BO471" i="13"/>
  <c r="BO472" i="13" s="1"/>
  <c r="Y112" i="7" s="1"/>
  <c r="AF28" i="5" s="1"/>
  <c r="BO352" i="13"/>
  <c r="BO161" i="13"/>
  <c r="BO119" i="13"/>
  <c r="AS67" i="2"/>
  <c r="BE333" i="12"/>
  <c r="BE41" i="12"/>
  <c r="BO247" i="13"/>
  <c r="BO95" i="13"/>
  <c r="J12" i="10"/>
  <c r="AS167" i="2"/>
  <c r="AS51" i="2"/>
  <c r="BE291" i="12"/>
  <c r="BE101" i="12"/>
  <c r="BE21" i="12"/>
  <c r="BO189" i="13"/>
  <c r="BO71" i="13"/>
  <c r="J19" i="10"/>
  <c r="AS304" i="2"/>
  <c r="AS199" i="2"/>
  <c r="AF345" i="13"/>
  <c r="AG345" i="13" s="1"/>
  <c r="AH345" i="13" s="1"/>
  <c r="AA272" i="13"/>
  <c r="AC397" i="13"/>
  <c r="AD397" i="13" s="1"/>
  <c r="AE397" i="13" s="1"/>
  <c r="AF397" i="13" s="1"/>
  <c r="AG397" i="13" s="1"/>
  <c r="AH397" i="13" s="1"/>
  <c r="AJ397" i="13" s="1"/>
  <c r="AM397" i="13" s="1"/>
  <c r="AF363" i="13"/>
  <c r="AF380" i="13" s="1"/>
  <c r="AH403" i="13"/>
  <c r="AJ403" i="13" s="1"/>
  <c r="AM403" i="13" s="1"/>
  <c r="AH455" i="13"/>
  <c r="AJ455" i="13" s="1"/>
  <c r="AM455" i="13" s="1"/>
  <c r="AC415" i="13"/>
  <c r="Z428" i="13"/>
  <c r="AB421" i="13"/>
  <c r="X438" i="13"/>
  <c r="AB438" i="13" s="1"/>
  <c r="AA415" i="13"/>
  <c r="AJ369" i="13"/>
  <c r="AN369" i="13" s="1"/>
  <c r="AO369" i="13" s="1"/>
  <c r="AP369" i="13" s="1"/>
  <c r="AF386" i="13"/>
  <c r="T386" i="13"/>
  <c r="U386" i="13" s="1"/>
  <c r="AL369" i="13"/>
  <c r="AH351" i="13"/>
  <c r="AE328" i="13"/>
  <c r="Z327" i="13"/>
  <c r="AA313" i="13"/>
  <c r="X330" i="13" s="1"/>
  <c r="AB330" i="13" s="1"/>
  <c r="AB315" i="13"/>
  <c r="X332" i="13"/>
  <c r="AB332" i="13" s="1"/>
  <c r="AF328" i="13"/>
  <c r="T328" i="13"/>
  <c r="U328" i="13" s="1"/>
  <c r="AJ311" i="13"/>
  <c r="AH311" i="13"/>
  <c r="AI311" i="13" s="1"/>
  <c r="AL311" i="13" s="1"/>
  <c r="AF317" i="13"/>
  <c r="AC212" i="13"/>
  <c r="AD212" i="13" s="1"/>
  <c r="AE212" i="13" s="1"/>
  <c r="AE229" i="13" s="1"/>
  <c r="AC189" i="13"/>
  <c r="AD189" i="13" s="1"/>
  <c r="AE189" i="13" s="1"/>
  <c r="Z221" i="13"/>
  <c r="AA221" i="13" s="1"/>
  <c r="AB212" i="13"/>
  <c r="X189" i="13"/>
  <c r="AB189" i="13" s="1"/>
  <c r="AC181" i="13"/>
  <c r="AD181" i="13" s="1"/>
  <c r="AE181" i="13" s="1"/>
  <c r="X181" i="13"/>
  <c r="AB181" i="13" s="1"/>
  <c r="AH195" i="13"/>
  <c r="AJ195" i="13" s="1"/>
  <c r="AM195" i="13" s="1"/>
  <c r="AF163" i="13"/>
  <c r="AG163" i="13" s="1"/>
  <c r="AH163" i="13" s="1"/>
  <c r="AH167" i="13"/>
  <c r="AJ167" i="13" s="1"/>
  <c r="AM167" i="13" s="1"/>
  <c r="AG161" i="13"/>
  <c r="AF165" i="13"/>
  <c r="AG165" i="13" s="1"/>
  <c r="AH153" i="13"/>
  <c r="AJ153" i="13" s="1"/>
  <c r="AM153" i="13" s="1"/>
  <c r="AJ139" i="13"/>
  <c r="AM139" i="13" s="1"/>
  <c r="AN139" i="13"/>
  <c r="AO139" i="13" s="1"/>
  <c r="AP139" i="13" s="1"/>
  <c r="S100" i="13"/>
  <c r="J100" i="13"/>
  <c r="K100" i="13" s="1"/>
  <c r="W89" i="13"/>
  <c r="X89" i="13" s="1"/>
  <c r="Y89" i="13" s="1"/>
  <c r="L76" i="13"/>
  <c r="Y65" i="13"/>
  <c r="L52" i="13"/>
  <c r="Q52" i="13" s="1"/>
  <c r="Y41" i="13"/>
  <c r="C1" i="10"/>
  <c r="Y50" i="5" s="1"/>
  <c r="AS313" i="2"/>
  <c r="F67" i="4"/>
  <c r="F92" i="4"/>
  <c r="F93" i="4"/>
  <c r="F94" i="4"/>
  <c r="F91" i="4"/>
  <c r="F85" i="4"/>
  <c r="F86" i="4"/>
  <c r="F87" i="4"/>
  <c r="F84" i="4"/>
  <c r="F68" i="4"/>
  <c r="F63" i="4"/>
  <c r="F62" i="4"/>
  <c r="F58" i="4"/>
  <c r="F57" i="4"/>
  <c r="F50" i="4"/>
  <c r="F51" i="4"/>
  <c r="F52" i="4"/>
  <c r="F53" i="4"/>
  <c r="F49" i="4"/>
  <c r="F31" i="4"/>
  <c r="F32" i="4"/>
  <c r="F33" i="4"/>
  <c r="F30" i="4"/>
  <c r="F23" i="4"/>
  <c r="F22" i="4"/>
  <c r="F15" i="4"/>
  <c r="F14" i="4"/>
  <c r="F9" i="4"/>
  <c r="F10" i="4"/>
  <c r="F8" i="4"/>
  <c r="H53" i="8"/>
  <c r="I53" i="8" s="1"/>
  <c r="I52" i="8"/>
  <c r="I50" i="8"/>
  <c r="I49" i="8"/>
  <c r="I48" i="8"/>
  <c r="H45" i="8"/>
  <c r="I45" i="8" s="1"/>
  <c r="I44" i="8"/>
  <c r="I42" i="8"/>
  <c r="I41" i="8"/>
  <c r="I40" i="8"/>
  <c r="H33" i="8"/>
  <c r="I33" i="8" s="1"/>
  <c r="I32" i="8"/>
  <c r="I30" i="8"/>
  <c r="I29" i="8"/>
  <c r="I28" i="8"/>
  <c r="H25" i="8"/>
  <c r="I25" i="8" s="1"/>
  <c r="I24" i="8"/>
  <c r="I22" i="8"/>
  <c r="I21" i="8"/>
  <c r="I20" i="8"/>
  <c r="I16" i="8"/>
  <c r="I12" i="8"/>
  <c r="I18" i="8" s="1"/>
  <c r="H17" i="8"/>
  <c r="I17" i="8" s="1"/>
  <c r="F7" i="8"/>
  <c r="I46" i="8" l="1"/>
  <c r="S28" i="13"/>
  <c r="J28" i="13"/>
  <c r="K28" i="13" s="1"/>
  <c r="L28" i="13" s="1"/>
  <c r="Q28" i="13" s="1"/>
  <c r="W17" i="13"/>
  <c r="X17" i="13" s="1"/>
  <c r="Y17" i="13" s="1"/>
  <c r="U26" i="8"/>
  <c r="Q64" i="4"/>
  <c r="U54" i="8"/>
  <c r="Q88" i="4"/>
  <c r="U46" i="5" s="1"/>
  <c r="Q59" i="4"/>
  <c r="Q27" i="4"/>
  <c r="U36" i="5" s="1"/>
  <c r="Q54" i="4"/>
  <c r="U40" i="5" s="1"/>
  <c r="U46" i="8"/>
  <c r="Q81" i="4"/>
  <c r="U34" i="8"/>
  <c r="Q69" i="4"/>
  <c r="U43" i="5" s="1"/>
  <c r="Q46" i="4"/>
  <c r="U39" i="5" s="1"/>
  <c r="U18" i="8"/>
  <c r="Q40" i="4"/>
  <c r="U38" i="5" s="1"/>
  <c r="Q19" i="4"/>
  <c r="U35" i="5" s="1"/>
  <c r="Z81" i="4"/>
  <c r="AF44" i="5" s="1"/>
  <c r="AF54" i="8"/>
  <c r="AF18" i="8"/>
  <c r="Z59" i="4"/>
  <c r="AF41" i="5" s="1"/>
  <c r="Z19" i="4"/>
  <c r="AF35" i="5" s="1"/>
  <c r="AF46" i="8"/>
  <c r="AF56" i="8" s="1"/>
  <c r="Z88" i="4"/>
  <c r="AF46" i="5" s="1"/>
  <c r="Z54" i="4"/>
  <c r="AF40" i="5" s="1"/>
  <c r="AF34" i="8"/>
  <c r="Z69" i="4"/>
  <c r="AF43" i="5" s="1"/>
  <c r="AF26" i="8"/>
  <c r="Z64" i="4"/>
  <c r="AF42" i="5" s="1"/>
  <c r="Z27" i="4"/>
  <c r="AF36" i="5" s="1"/>
  <c r="Z40" i="4"/>
  <c r="AF38" i="5" s="1"/>
  <c r="Z46" i="4"/>
  <c r="AF39" i="5" s="1"/>
  <c r="AJ363" i="13"/>
  <c r="T380" i="13"/>
  <c r="U380" i="13" s="1"/>
  <c r="V380" i="13" s="1"/>
  <c r="AC380" i="13" s="1"/>
  <c r="AH363" i="13"/>
  <c r="AI363" i="13" s="1"/>
  <c r="AL363" i="13" s="1"/>
  <c r="AK353" i="13"/>
  <c r="AL353" i="13" s="1"/>
  <c r="AJ345" i="13"/>
  <c r="AM345" i="13" s="1"/>
  <c r="AK356" i="13"/>
  <c r="AL356" i="13" s="1"/>
  <c r="AK460" i="13"/>
  <c r="AL460" i="13" s="1"/>
  <c r="AD415" i="13"/>
  <c r="AE415" i="13" s="1"/>
  <c r="AE432" i="13" s="1"/>
  <c r="AC449" i="13"/>
  <c r="AD449" i="13" s="1"/>
  <c r="AE449" i="13" s="1"/>
  <c r="AF449" i="13" s="1"/>
  <c r="AG449" i="13" s="1"/>
  <c r="AK405" i="13"/>
  <c r="AL405" i="13" s="1"/>
  <c r="AK408" i="13"/>
  <c r="AL408" i="13" s="1"/>
  <c r="AJ351" i="13"/>
  <c r="AM351" i="13" s="1"/>
  <c r="AB415" i="13"/>
  <c r="X432" i="13"/>
  <c r="AB432" i="13" s="1"/>
  <c r="AF421" i="13"/>
  <c r="AA428" i="13"/>
  <c r="AP386" i="13"/>
  <c r="AM369" i="13"/>
  <c r="AQ369" i="13" s="1"/>
  <c r="AK386" i="13"/>
  <c r="AM386" i="13" s="1"/>
  <c r="AK378" i="13"/>
  <c r="AL378" i="13" s="1"/>
  <c r="V386" i="13"/>
  <c r="AB313" i="13"/>
  <c r="AC246" i="13"/>
  <c r="AD246" i="13" s="1"/>
  <c r="AE246" i="13" s="1"/>
  <c r="AF246" i="13" s="1"/>
  <c r="AG246" i="13" s="1"/>
  <c r="AH246" i="13" s="1"/>
  <c r="AJ246" i="13" s="1"/>
  <c r="AM246" i="13" s="1"/>
  <c r="AF334" i="13"/>
  <c r="T334" i="13"/>
  <c r="U334" i="13" s="1"/>
  <c r="AJ317" i="13"/>
  <c r="AK328" i="13"/>
  <c r="AM328" i="13" s="1"/>
  <c r="AM311" i="13"/>
  <c r="AH317" i="13"/>
  <c r="AI317" i="13" s="1"/>
  <c r="AL317" i="13" s="1"/>
  <c r="V328" i="13"/>
  <c r="AC328" i="13" s="1"/>
  <c r="AK323" i="13"/>
  <c r="AN311" i="13"/>
  <c r="AF212" i="13"/>
  <c r="AH212" i="13" s="1"/>
  <c r="AI212" i="13" s="1"/>
  <c r="AL212" i="13" s="1"/>
  <c r="AF189" i="13"/>
  <c r="AG189" i="13" s="1"/>
  <c r="AH189" i="13" s="1"/>
  <c r="AN189" i="13" s="1"/>
  <c r="AO189" i="13" s="1"/>
  <c r="AP189" i="13" s="1"/>
  <c r="AF181" i="13"/>
  <c r="AG181" i="13" s="1"/>
  <c r="AH181" i="13" s="1"/>
  <c r="AN195" i="13"/>
  <c r="AO195" i="13" s="1"/>
  <c r="AP195" i="13" s="1"/>
  <c r="AQ195" i="13" s="1"/>
  <c r="AR195" i="13" s="1"/>
  <c r="AJ163" i="13"/>
  <c r="AM163" i="13" s="1"/>
  <c r="AH165" i="13"/>
  <c r="AJ165" i="13" s="1"/>
  <c r="AM165" i="13" s="1"/>
  <c r="AH161" i="13"/>
  <c r="AN161" i="13" s="1"/>
  <c r="AO161" i="13" s="1"/>
  <c r="AP161" i="13" s="1"/>
  <c r="AN167" i="13"/>
  <c r="AO167" i="13" s="1"/>
  <c r="AP167" i="13" s="1"/>
  <c r="AN163" i="13"/>
  <c r="AO163" i="13" s="1"/>
  <c r="AP163" i="13" s="1"/>
  <c r="AN153" i="13"/>
  <c r="AO153" i="13" s="1"/>
  <c r="AP153" i="13" s="1"/>
  <c r="AQ139" i="13"/>
  <c r="AR139" i="13" s="1"/>
  <c r="L100" i="13"/>
  <c r="Q76" i="13"/>
  <c r="H81" i="4"/>
  <c r="U44" i="5"/>
  <c r="C50" i="5"/>
  <c r="N50" i="5"/>
  <c r="U41" i="5"/>
  <c r="U42" i="5"/>
  <c r="H46" i="4"/>
  <c r="J39" i="5" s="1"/>
  <c r="H40" i="4"/>
  <c r="J38" i="5" s="1"/>
  <c r="J18" i="8"/>
  <c r="J46" i="8"/>
  <c r="I54" i="8"/>
  <c r="J54" i="8" s="1"/>
  <c r="I26" i="8"/>
  <c r="J26" i="8" s="1"/>
  <c r="I34" i="8"/>
  <c r="J34" i="8" s="1"/>
  <c r="G59" i="4"/>
  <c r="G34" i="4"/>
  <c r="G95" i="4"/>
  <c r="E12" i="10" s="1"/>
  <c r="G88" i="4"/>
  <c r="G69" i="4"/>
  <c r="G64" i="4"/>
  <c r="G54" i="4"/>
  <c r="G11" i="4"/>
  <c r="C12" i="10" l="1"/>
  <c r="H37" i="5"/>
  <c r="H69" i="4"/>
  <c r="H43" i="5"/>
  <c r="H59" i="4"/>
  <c r="H41" i="5"/>
  <c r="H88" i="4"/>
  <c r="H46" i="5"/>
  <c r="I56" i="8"/>
  <c r="H64" i="4"/>
  <c r="H42" i="5"/>
  <c r="H54" i="4"/>
  <c r="J40" i="5" s="1"/>
  <c r="AQ40" i="5" s="1"/>
  <c r="H40" i="5"/>
  <c r="B12" i="10"/>
  <c r="H34" i="5"/>
  <c r="AN363" i="13"/>
  <c r="AO363" i="13" s="1"/>
  <c r="AP363" i="13" s="1"/>
  <c r="AP380" i="13" s="1"/>
  <c r="U56" i="8"/>
  <c r="AF47" i="5"/>
  <c r="AQ39" i="5"/>
  <c r="AF36" i="8"/>
  <c r="U36" i="8"/>
  <c r="AK375" i="13"/>
  <c r="AL375" i="13" s="1"/>
  <c r="AQ38" i="5"/>
  <c r="AF415" i="13"/>
  <c r="AJ415" i="13" s="1"/>
  <c r="U47" i="5"/>
  <c r="V391" i="13"/>
  <c r="L391" i="13" s="1"/>
  <c r="AH449" i="13"/>
  <c r="AJ421" i="13"/>
  <c r="AF438" i="13"/>
  <c r="T438" i="13"/>
  <c r="U438" i="13" s="1"/>
  <c r="AH421" i="13"/>
  <c r="AI421" i="13" s="1"/>
  <c r="AL421" i="13" s="1"/>
  <c r="V388" i="13"/>
  <c r="L388" i="13" s="1"/>
  <c r="AU369" i="13"/>
  <c r="AQ386" i="13"/>
  <c r="AG386" i="13"/>
  <c r="AS369" i="13"/>
  <c r="AT369" i="13" s="1"/>
  <c r="AK380" i="13"/>
  <c r="AM380" i="13" s="1"/>
  <c r="AM363" i="13"/>
  <c r="AO311" i="13"/>
  <c r="AP311" i="13" s="1"/>
  <c r="AP328" i="13" s="1"/>
  <c r="AN345" i="13"/>
  <c r="AO345" i="13" s="1"/>
  <c r="AP345" i="13" s="1"/>
  <c r="AQ345" i="13" s="1"/>
  <c r="AR345" i="13" s="1"/>
  <c r="AK334" i="13"/>
  <c r="AM334" i="13" s="1"/>
  <c r="AM317" i="13"/>
  <c r="AL323" i="13"/>
  <c r="V334" i="13"/>
  <c r="V339" i="13" s="1"/>
  <c r="L339" i="13" s="1"/>
  <c r="AK326" i="13"/>
  <c r="AL326" i="13" s="1"/>
  <c r="AN317" i="13"/>
  <c r="AO317" i="13" s="1"/>
  <c r="AP317" i="13" s="1"/>
  <c r="V336" i="13"/>
  <c r="L336" i="13" s="1"/>
  <c r="T229" i="13"/>
  <c r="U229" i="13" s="1"/>
  <c r="V229" i="13" s="1"/>
  <c r="V234" i="13" s="1"/>
  <c r="L234" i="13" s="1"/>
  <c r="AF229" i="13"/>
  <c r="AJ212" i="13"/>
  <c r="AK251" i="13"/>
  <c r="AL251" i="13" s="1"/>
  <c r="AM212" i="13"/>
  <c r="AK229" i="13"/>
  <c r="AM229" i="13" s="1"/>
  <c r="AK221" i="13"/>
  <c r="AL221" i="13" s="1"/>
  <c r="AJ189" i="13"/>
  <c r="AM189" i="13" s="1"/>
  <c r="AQ189" i="13" s="1"/>
  <c r="AR189" i="13" s="1"/>
  <c r="AN165" i="13"/>
  <c r="AO165" i="13" s="1"/>
  <c r="AP165" i="13" s="1"/>
  <c r="AQ165" i="13" s="1"/>
  <c r="AR165" i="13" s="1"/>
  <c r="AN181" i="13"/>
  <c r="AO181" i="13" s="1"/>
  <c r="AP181" i="13" s="1"/>
  <c r="AJ181" i="13"/>
  <c r="AM181" i="13" s="1"/>
  <c r="AS195" i="13"/>
  <c r="AU195" i="13" s="1"/>
  <c r="AX195" i="13" s="1"/>
  <c r="AQ163" i="13"/>
  <c r="AR163" i="13" s="1"/>
  <c r="AQ167" i="13"/>
  <c r="AR167" i="13" s="1"/>
  <c r="AJ161" i="13"/>
  <c r="AM161" i="13" s="1"/>
  <c r="AQ153" i="13"/>
  <c r="AR153" i="13" s="1"/>
  <c r="AS139" i="13"/>
  <c r="Q100" i="13"/>
  <c r="J56" i="8"/>
  <c r="I36" i="8"/>
  <c r="F18" i="4" s="1"/>
  <c r="G19" i="4" s="1"/>
  <c r="J36" i="8"/>
  <c r="F26" i="4"/>
  <c r="G27" i="4" s="1"/>
  <c r="F41" i="15" l="1"/>
  <c r="N41" i="15" s="1"/>
  <c r="AO43" i="5"/>
  <c r="F40" i="15"/>
  <c r="N40" i="15" s="1"/>
  <c r="AO42" i="5"/>
  <c r="F39" i="15"/>
  <c r="N39" i="15" s="1"/>
  <c r="AO41" i="5"/>
  <c r="F35" i="15"/>
  <c r="N35" i="15" s="1"/>
  <c r="AO37" i="5"/>
  <c r="F44" i="15"/>
  <c r="N44" i="15" s="1"/>
  <c r="AO46" i="5"/>
  <c r="F38" i="15"/>
  <c r="N38" i="15" s="1"/>
  <c r="AO40" i="5"/>
  <c r="AN397" i="13"/>
  <c r="AO397" i="13" s="1"/>
  <c r="AP397" i="13" s="1"/>
  <c r="AQ397" i="13" s="1"/>
  <c r="AR397" i="13" s="1"/>
  <c r="AS397" i="13" s="1"/>
  <c r="AV405" i="13" s="1"/>
  <c r="AW405" i="13" s="1"/>
  <c r="H19" i="4"/>
  <c r="H35" i="5"/>
  <c r="F32" i="15"/>
  <c r="N32" i="15" s="1"/>
  <c r="AO34" i="5"/>
  <c r="H27" i="4"/>
  <c r="H36" i="5"/>
  <c r="AH415" i="13"/>
  <c r="AI415" i="13" s="1"/>
  <c r="AL415" i="13" s="1"/>
  <c r="AM415" i="13" s="1"/>
  <c r="T432" i="13"/>
  <c r="U432" i="13" s="1"/>
  <c r="V432" i="13" s="1"/>
  <c r="AC432" i="13" s="1"/>
  <c r="AF432" i="13"/>
  <c r="AJ449" i="13"/>
  <c r="AM449" i="13" s="1"/>
  <c r="AQ311" i="13"/>
  <c r="AS311" i="13" s="1"/>
  <c r="AT311" i="13" s="1"/>
  <c r="AQ363" i="13"/>
  <c r="AQ380" i="13" s="1"/>
  <c r="AM421" i="13"/>
  <c r="AK438" i="13"/>
  <c r="AM438" i="13" s="1"/>
  <c r="V438" i="13"/>
  <c r="V443" i="13" s="1"/>
  <c r="L443" i="13" s="1"/>
  <c r="AK430" i="13"/>
  <c r="AL430" i="13" s="1"/>
  <c r="AN421" i="13"/>
  <c r="AN455" i="13" s="1"/>
  <c r="AO455" i="13" s="1"/>
  <c r="AP455" i="13" s="1"/>
  <c r="AQ455" i="13" s="1"/>
  <c r="AR455" i="13" s="1"/>
  <c r="AV378" i="13"/>
  <c r="AW378" i="13" s="1"/>
  <c r="AY369" i="13"/>
  <c r="AW369" i="13"/>
  <c r="AC386" i="13"/>
  <c r="AS345" i="13"/>
  <c r="AU345" i="13" s="1"/>
  <c r="AX345" i="13" s="1"/>
  <c r="AN212" i="13"/>
  <c r="AO212" i="13" s="1"/>
  <c r="AP212" i="13" s="1"/>
  <c r="AP229" i="13" s="1"/>
  <c r="AN351" i="13"/>
  <c r="AO351" i="13" s="1"/>
  <c r="AP351" i="13" s="1"/>
  <c r="AQ351" i="13" s="1"/>
  <c r="AR351" i="13" s="1"/>
  <c r="AP334" i="13"/>
  <c r="AQ317" i="13"/>
  <c r="AS317" i="13" s="1"/>
  <c r="AT317" i="13" s="1"/>
  <c r="AC334" i="13"/>
  <c r="AN403" i="13"/>
  <c r="AO403" i="13" s="1"/>
  <c r="AP403" i="13" s="1"/>
  <c r="AQ403" i="13" s="1"/>
  <c r="AR403" i="13" s="1"/>
  <c r="AC229" i="13"/>
  <c r="AQ181" i="13"/>
  <c r="AR181" i="13" s="1"/>
  <c r="AS181" i="13" s="1"/>
  <c r="AS189" i="13"/>
  <c r="AY189" i="13" s="1"/>
  <c r="AZ189" i="13" s="1"/>
  <c r="BA189" i="13" s="1"/>
  <c r="AY195" i="13"/>
  <c r="AZ195" i="13" s="1"/>
  <c r="BA195" i="13" s="1"/>
  <c r="BB195" i="13" s="1"/>
  <c r="BC195" i="13" s="1"/>
  <c r="AS165" i="13"/>
  <c r="AY165" i="13" s="1"/>
  <c r="AZ165" i="13" s="1"/>
  <c r="BA165" i="13" s="1"/>
  <c r="AS163" i="13"/>
  <c r="AY163" i="13" s="1"/>
  <c r="AZ163" i="13" s="1"/>
  <c r="BA163" i="13" s="1"/>
  <c r="AQ161" i="13"/>
  <c r="AR161" i="13" s="1"/>
  <c r="AS167" i="13"/>
  <c r="AY167" i="13" s="1"/>
  <c r="AZ167" i="13" s="1"/>
  <c r="BA167" i="13" s="1"/>
  <c r="AY139" i="13"/>
  <c r="AZ139" i="13" s="1"/>
  <c r="BA139" i="13" s="1"/>
  <c r="AS153" i="13"/>
  <c r="AY153" i="13" s="1"/>
  <c r="AZ153" i="13" s="1"/>
  <c r="BA153" i="13" s="1"/>
  <c r="AU139" i="13"/>
  <c r="AX139" i="13" s="1"/>
  <c r="B136" i="2"/>
  <c r="F33" i="15" l="1"/>
  <c r="N33" i="15" s="1"/>
  <c r="AO35" i="5"/>
  <c r="AK432" i="13"/>
  <c r="AM432" i="13" s="1"/>
  <c r="AN415" i="13"/>
  <c r="AO415" i="13" s="1"/>
  <c r="AP415" i="13" s="1"/>
  <c r="AP432" i="13" s="1"/>
  <c r="AU311" i="13"/>
  <c r="AY311" i="13" s="1"/>
  <c r="AY345" i="13" s="1"/>
  <c r="AZ345" i="13" s="1"/>
  <c r="BA345" i="13" s="1"/>
  <c r="BB345" i="13" s="1"/>
  <c r="BC345" i="13" s="1"/>
  <c r="AQ328" i="13"/>
  <c r="AW311" i="13"/>
  <c r="AV328" i="13" s="1"/>
  <c r="AX328" i="13" s="1"/>
  <c r="F34" i="15"/>
  <c r="N34" i="15" s="1"/>
  <c r="AO36" i="5"/>
  <c r="AK427" i="13"/>
  <c r="AL427" i="13" s="1"/>
  <c r="AU363" i="13"/>
  <c r="AG380" i="13"/>
  <c r="AH380" i="13" s="1"/>
  <c r="AI380" i="13" s="1"/>
  <c r="AN380" i="13" s="1"/>
  <c r="AG328" i="13"/>
  <c r="AH328" i="13" s="1"/>
  <c r="AG336" i="13" s="1"/>
  <c r="X336" i="13" s="1"/>
  <c r="AS363" i="13"/>
  <c r="AT363" i="13" s="1"/>
  <c r="AW363" i="13" s="1"/>
  <c r="AX363" i="13" s="1"/>
  <c r="AU397" i="13"/>
  <c r="AX397" i="13" s="1"/>
  <c r="AV353" i="13"/>
  <c r="AW353" i="13" s="1"/>
  <c r="AS403" i="13"/>
  <c r="AV408" i="13" s="1"/>
  <c r="AW408" i="13" s="1"/>
  <c r="AZ369" i="13"/>
  <c r="BA369" i="13" s="1"/>
  <c r="BA386" i="13" s="1"/>
  <c r="AY403" i="13"/>
  <c r="AZ403" i="13" s="1"/>
  <c r="BA403" i="13" s="1"/>
  <c r="AS455" i="13"/>
  <c r="AV460" i="13" s="1"/>
  <c r="AW460" i="13" s="1"/>
  <c r="V440" i="13"/>
  <c r="L440" i="13" s="1"/>
  <c r="AC438" i="13"/>
  <c r="AO421" i="13"/>
  <c r="AP421" i="13" s="1"/>
  <c r="AX369" i="13"/>
  <c r="AV386" i="13"/>
  <c r="AX386" i="13" s="1"/>
  <c r="AH386" i="13"/>
  <c r="AS351" i="13"/>
  <c r="AN246" i="13"/>
  <c r="AO246" i="13" s="1"/>
  <c r="AP246" i="13" s="1"/>
  <c r="AQ246" i="13" s="1"/>
  <c r="AR246" i="13" s="1"/>
  <c r="AS246" i="13" s="1"/>
  <c r="AV251" i="13" s="1"/>
  <c r="AW251" i="13" s="1"/>
  <c r="AQ212" i="13"/>
  <c r="AG229" i="13" s="1"/>
  <c r="AH229" i="13" s="1"/>
  <c r="AQ334" i="13"/>
  <c r="AG334" i="13"/>
  <c r="AH334" i="13" s="1"/>
  <c r="AU317" i="13"/>
  <c r="AY317" i="13" s="1"/>
  <c r="AW317" i="13"/>
  <c r="AU167" i="13"/>
  <c r="AX167" i="13" s="1"/>
  <c r="BB167" i="13" s="1"/>
  <c r="BC167" i="13" s="1"/>
  <c r="BD195" i="13"/>
  <c r="AY181" i="13"/>
  <c r="AZ181" i="13" s="1"/>
  <c r="BA181" i="13" s="1"/>
  <c r="AU181" i="13"/>
  <c r="AX181" i="13" s="1"/>
  <c r="AU189" i="13"/>
  <c r="AX189" i="13" s="1"/>
  <c r="BB189" i="13" s="1"/>
  <c r="AU163" i="13"/>
  <c r="AX163" i="13" s="1"/>
  <c r="BB163" i="13" s="1"/>
  <c r="BC163" i="13" s="1"/>
  <c r="AS161" i="13"/>
  <c r="AY161" i="13" s="1"/>
  <c r="AZ161" i="13" s="1"/>
  <c r="BA161" i="13" s="1"/>
  <c r="BB139" i="13"/>
  <c r="BC139" i="13" s="1"/>
  <c r="AU165" i="13"/>
  <c r="AX165" i="13" s="1"/>
  <c r="AU153" i="13"/>
  <c r="AX153" i="13" s="1"/>
  <c r="B9" i="2"/>
  <c r="AP144" i="2"/>
  <c r="D111" i="1"/>
  <c r="E111" i="1" s="1"/>
  <c r="D106" i="1"/>
  <c r="E106" i="1" s="1"/>
  <c r="D101" i="1"/>
  <c r="E101" i="1" s="1"/>
  <c r="D96" i="1"/>
  <c r="E96" i="1" s="1"/>
  <c r="D91" i="1"/>
  <c r="E91" i="1" s="1"/>
  <c r="D86" i="1"/>
  <c r="E86" i="1" s="1"/>
  <c r="D82" i="1"/>
  <c r="E82" i="1" s="1"/>
  <c r="D78" i="1"/>
  <c r="E78" i="1" s="1"/>
  <c r="D74" i="1"/>
  <c r="E74" i="1" s="1"/>
  <c r="D70" i="1"/>
  <c r="E70" i="1" s="1"/>
  <c r="AZ311" i="13" l="1"/>
  <c r="BA311" i="13" s="1"/>
  <c r="BA328" i="13" s="1"/>
  <c r="AV323" i="13"/>
  <c r="AW323" i="13" s="1"/>
  <c r="AV380" i="13"/>
  <c r="AX380" i="13" s="1"/>
  <c r="AN449" i="13"/>
  <c r="AO449" i="13" s="1"/>
  <c r="AP449" i="13" s="1"/>
  <c r="AQ449" i="13" s="1"/>
  <c r="AR449" i="13" s="1"/>
  <c r="AS449" i="13" s="1"/>
  <c r="AU449" i="13" s="1"/>
  <c r="AX449" i="13" s="1"/>
  <c r="AS212" i="13"/>
  <c r="AT212" i="13" s="1"/>
  <c r="AQ229" i="13"/>
  <c r="AG388" i="13"/>
  <c r="X388" i="13" s="1"/>
  <c r="AX311" i="13"/>
  <c r="AU212" i="13"/>
  <c r="AI328" i="13"/>
  <c r="AN328" i="13" s="1"/>
  <c r="AY363" i="13"/>
  <c r="AZ363" i="13" s="1"/>
  <c r="BA363" i="13" s="1"/>
  <c r="BA380" i="13" s="1"/>
  <c r="AV375" i="13"/>
  <c r="AW375" i="13" s="1"/>
  <c r="AU403" i="13"/>
  <c r="AX403" i="13" s="1"/>
  <c r="BB403" i="13" s="1"/>
  <c r="BC403" i="13" s="1"/>
  <c r="AQ415" i="13"/>
  <c r="AS415" i="13" s="1"/>
  <c r="AT415" i="13" s="1"/>
  <c r="AV356" i="13"/>
  <c r="AW356" i="13" s="1"/>
  <c r="AU455" i="13"/>
  <c r="AX455" i="13" s="1"/>
  <c r="AU351" i="13"/>
  <c r="AX351" i="13" s="1"/>
  <c r="AP438" i="13"/>
  <c r="AQ421" i="13"/>
  <c r="BB369" i="13"/>
  <c r="BD369" i="13" s="1"/>
  <c r="BE369" i="13" s="1"/>
  <c r="AG391" i="13"/>
  <c r="X391" i="13" s="1"/>
  <c r="AI386" i="13"/>
  <c r="AN386" i="13" s="1"/>
  <c r="BD345" i="13"/>
  <c r="AZ317" i="13"/>
  <c r="BA317" i="13" s="1"/>
  <c r="BA334" i="13" s="1"/>
  <c r="AY351" i="13"/>
  <c r="AZ351" i="13" s="1"/>
  <c r="BA351" i="13" s="1"/>
  <c r="AG339" i="13"/>
  <c r="X339" i="13" s="1"/>
  <c r="AI334" i="13"/>
  <c r="AN334" i="13" s="1"/>
  <c r="AV326" i="13"/>
  <c r="AW326" i="13" s="1"/>
  <c r="AV334" i="13"/>
  <c r="AX334" i="13" s="1"/>
  <c r="AX317" i="13"/>
  <c r="AU246" i="13"/>
  <c r="AX246" i="13" s="1"/>
  <c r="AT246" i="13"/>
  <c r="AW212" i="13"/>
  <c r="AV229" i="13" s="1"/>
  <c r="AX229" i="13" s="1"/>
  <c r="AI229" i="13"/>
  <c r="BF195" i="13"/>
  <c r="BC189" i="13"/>
  <c r="BB181" i="13"/>
  <c r="BC181" i="13" s="1"/>
  <c r="BD181" i="13" s="1"/>
  <c r="AU161" i="13"/>
  <c r="AX161" i="13" s="1"/>
  <c r="BB161" i="13" s="1"/>
  <c r="BC161" i="13" s="1"/>
  <c r="BD167" i="13"/>
  <c r="BD163" i="13"/>
  <c r="BB165" i="13"/>
  <c r="BC165" i="13" s="1"/>
  <c r="BD139" i="13"/>
  <c r="BF139" i="13" s="1"/>
  <c r="BB153" i="13"/>
  <c r="BC153" i="13" s="1"/>
  <c r="AP150" i="2"/>
  <c r="AP151" i="2" s="1"/>
  <c r="AP158" i="2"/>
  <c r="C1" i="1"/>
  <c r="D1" i="1" s="1"/>
  <c r="E1" i="1" s="1"/>
  <c r="AR19" i="2"/>
  <c r="AR20" i="2" s="1"/>
  <c r="AR21" i="2" s="1"/>
  <c r="AP14" i="2"/>
  <c r="Y12" i="5"/>
  <c r="AJ12" i="5" s="1"/>
  <c r="BB311" i="13" l="1"/>
  <c r="BD311" i="13" s="1"/>
  <c r="BE311" i="13" s="1"/>
  <c r="AV221" i="13"/>
  <c r="AW221" i="13" s="1"/>
  <c r="AY212" i="13"/>
  <c r="AZ212" i="13" s="1"/>
  <c r="BA212" i="13" s="1"/>
  <c r="BA229" i="13" s="1"/>
  <c r="AY397" i="13"/>
  <c r="AZ397" i="13" s="1"/>
  <c r="BA397" i="13" s="1"/>
  <c r="BB397" i="13" s="1"/>
  <c r="BC397" i="13" s="1"/>
  <c r="BD397" i="13" s="1"/>
  <c r="BF397" i="13" s="1"/>
  <c r="AQ432" i="13"/>
  <c r="BB363" i="13"/>
  <c r="AR380" i="13" s="1"/>
  <c r="AS380" i="13" s="1"/>
  <c r="BB351" i="13"/>
  <c r="BC351" i="13" s="1"/>
  <c r="BD351" i="13" s="1"/>
  <c r="BG356" i="13" s="1"/>
  <c r="BH356" i="13" s="1"/>
  <c r="AW415" i="13"/>
  <c r="AV432" i="13" s="1"/>
  <c r="AX432" i="13" s="1"/>
  <c r="AG432" i="13"/>
  <c r="AH432" i="13" s="1"/>
  <c r="AG440" i="13" s="1"/>
  <c r="X440" i="13" s="1"/>
  <c r="AU415" i="13"/>
  <c r="AV427" i="13" s="1"/>
  <c r="AW427" i="13" s="1"/>
  <c r="BF345" i="13"/>
  <c r="AV457" i="13"/>
  <c r="AW457" i="13" s="1"/>
  <c r="BD403" i="13"/>
  <c r="BG408" i="13" s="1"/>
  <c r="BH408" i="13" s="1"/>
  <c r="AQ438" i="13"/>
  <c r="AG438" i="13"/>
  <c r="AH438" i="13" s="1"/>
  <c r="AS421" i="13"/>
  <c r="AT421" i="13" s="1"/>
  <c r="AU421" i="13"/>
  <c r="BH369" i="13"/>
  <c r="BG386" i="13" s="1"/>
  <c r="BF369" i="13"/>
  <c r="BB386" i="13"/>
  <c r="AR386" i="13"/>
  <c r="AS386" i="13" s="1"/>
  <c r="BG353" i="13"/>
  <c r="BH353" i="13" s="1"/>
  <c r="BB317" i="13"/>
  <c r="BB328" i="13"/>
  <c r="AR328" i="13"/>
  <c r="AS328" i="13" s="1"/>
  <c r="AX212" i="13"/>
  <c r="AN229" i="13"/>
  <c r="AG234" i="13"/>
  <c r="X234" i="13" s="1"/>
  <c r="BF181" i="13"/>
  <c r="BD189" i="13"/>
  <c r="BF189" i="13" s="1"/>
  <c r="BF167" i="13"/>
  <c r="BD165" i="13"/>
  <c r="BF165" i="13" s="1"/>
  <c r="BF163" i="13"/>
  <c r="BD161" i="13"/>
  <c r="BF161" i="13" s="1"/>
  <c r="BD153" i="13"/>
  <c r="B305" i="2"/>
  <c r="AR304" i="2" s="1"/>
  <c r="AP290" i="2"/>
  <c r="AP295" i="2" s="1"/>
  <c r="AP296" i="2" s="1"/>
  <c r="AP281" i="2"/>
  <c r="AP285" i="2" s="1"/>
  <c r="AP286" i="2" s="1"/>
  <c r="AP272" i="2"/>
  <c r="AP278" i="2" s="1"/>
  <c r="AP279" i="2" s="1"/>
  <c r="B298" i="2"/>
  <c r="B272" i="2"/>
  <c r="A272" i="2"/>
  <c r="B270" i="2"/>
  <c r="AP258" i="2"/>
  <c r="AP263" i="2" s="1"/>
  <c r="AP264" i="2" s="1"/>
  <c r="AP240" i="2"/>
  <c r="AP246" i="2" s="1"/>
  <c r="AP247" i="2" s="1"/>
  <c r="B266" i="2"/>
  <c r="B240" i="2"/>
  <c r="A240" i="2"/>
  <c r="B238" i="2"/>
  <c r="BF311" i="13" l="1"/>
  <c r="BG323" i="13" s="1"/>
  <c r="BH323" i="13" s="1"/>
  <c r="BH311" i="13"/>
  <c r="BG328" i="13" s="1"/>
  <c r="AY246" i="13"/>
  <c r="AZ246" i="13" s="1"/>
  <c r="BA246" i="13" s="1"/>
  <c r="BB246" i="13" s="1"/>
  <c r="BC246" i="13" s="1"/>
  <c r="BD246" i="13" s="1"/>
  <c r="BF246" i="13" s="1"/>
  <c r="BB380" i="13"/>
  <c r="BD363" i="13"/>
  <c r="BE363" i="13" s="1"/>
  <c r="BH363" i="13" s="1"/>
  <c r="BG380" i="13" s="1"/>
  <c r="AX415" i="13"/>
  <c r="AY415" i="13"/>
  <c r="AY449" i="13" s="1"/>
  <c r="AZ449" i="13" s="1"/>
  <c r="BA449" i="13" s="1"/>
  <c r="BB449" i="13" s="1"/>
  <c r="BC449" i="13" s="1"/>
  <c r="BF363" i="13"/>
  <c r="AI432" i="13"/>
  <c r="AN432" i="13" s="1"/>
  <c r="BF403" i="13"/>
  <c r="BG405" i="13"/>
  <c r="BH405" i="13" s="1"/>
  <c r="BF351" i="13"/>
  <c r="AG443" i="13"/>
  <c r="X443" i="13" s="1"/>
  <c r="AI438" i="13"/>
  <c r="AN438" i="13" s="1"/>
  <c r="AV430" i="13"/>
  <c r="AW430" i="13" s="1"/>
  <c r="AY421" i="13"/>
  <c r="AW421" i="13"/>
  <c r="BG378" i="13"/>
  <c r="BH378" i="13" s="1"/>
  <c r="AT380" i="13"/>
  <c r="AY380" i="13" s="1"/>
  <c r="BD380" i="13" s="1"/>
  <c r="AT386" i="13"/>
  <c r="AR391" i="13" s="1"/>
  <c r="AI391" i="13" s="1"/>
  <c r="BB334" i="13"/>
  <c r="AR334" i="13"/>
  <c r="AS334" i="13" s="1"/>
  <c r="BF317" i="13"/>
  <c r="BD317" i="13"/>
  <c r="BE317" i="13" s="1"/>
  <c r="BH317" i="13" s="1"/>
  <c r="BG334" i="13" s="1"/>
  <c r="AT328" i="13"/>
  <c r="AR336" i="13" s="1"/>
  <c r="AI336" i="13" s="1"/>
  <c r="BB212" i="13"/>
  <c r="BD212" i="13" s="1"/>
  <c r="BE212" i="13" s="1"/>
  <c r="BF153" i="13"/>
  <c r="AR305" i="2"/>
  <c r="AS305" i="2" s="1"/>
  <c r="AM296" i="2"/>
  <c r="AM278" i="2"/>
  <c r="AM283" i="2"/>
  <c r="AM292" i="2"/>
  <c r="AM274" i="2"/>
  <c r="AM287" i="2"/>
  <c r="AM255" i="2"/>
  <c r="AM251" i="2"/>
  <c r="AM264" i="2"/>
  <c r="AM246" i="2"/>
  <c r="AM260" i="2"/>
  <c r="AM242" i="2"/>
  <c r="AP226" i="2"/>
  <c r="AP231" i="2" s="1"/>
  <c r="AP232" i="2" s="1"/>
  <c r="AP217" i="2"/>
  <c r="AP221" i="2" s="1"/>
  <c r="AP222" i="2" s="1"/>
  <c r="AP208" i="2"/>
  <c r="AP214" i="2" s="1"/>
  <c r="AP215" i="2" s="1"/>
  <c r="B234" i="2"/>
  <c r="B208" i="2"/>
  <c r="A208" i="2"/>
  <c r="B206" i="2"/>
  <c r="AP194" i="2"/>
  <c r="AP199" i="2" s="1"/>
  <c r="AP200" i="2" s="1"/>
  <c r="AP185" i="2"/>
  <c r="AP176" i="2"/>
  <c r="AP182" i="2" s="1"/>
  <c r="AP183" i="2" s="1"/>
  <c r="B202" i="2"/>
  <c r="B176" i="2"/>
  <c r="C176" i="2" s="1"/>
  <c r="A176" i="2"/>
  <c r="B174" i="2"/>
  <c r="BG375" i="13" l="1"/>
  <c r="BH375" i="13" s="1"/>
  <c r="AZ415" i="13"/>
  <c r="BA415" i="13" s="1"/>
  <c r="BA432" i="13" s="1"/>
  <c r="AZ421" i="13"/>
  <c r="BA421" i="13" s="1"/>
  <c r="BA438" i="13" s="1"/>
  <c r="AY455" i="13"/>
  <c r="AZ455" i="13" s="1"/>
  <c r="BA455" i="13" s="1"/>
  <c r="BB455" i="13" s="1"/>
  <c r="BC455" i="13" s="1"/>
  <c r="BD449" i="13"/>
  <c r="AR388" i="13"/>
  <c r="AI388" i="13" s="1"/>
  <c r="AO187" i="2"/>
  <c r="H202" i="2" s="1"/>
  <c r="AP189" i="2"/>
  <c r="AP190" i="2" s="1"/>
  <c r="AX421" i="13"/>
  <c r="AV438" i="13"/>
  <c r="AX438" i="13" s="1"/>
  <c r="BE380" i="13"/>
  <c r="AY386" i="13"/>
  <c r="BD386" i="13" s="1"/>
  <c r="AT334" i="13"/>
  <c r="AY334" i="13" s="1"/>
  <c r="BD334" i="13" s="1"/>
  <c r="AY328" i="13"/>
  <c r="BD328" i="13" s="1"/>
  <c r="BG326" i="13"/>
  <c r="BH326" i="13" s="1"/>
  <c r="BB229" i="13"/>
  <c r="BF212" i="13"/>
  <c r="BH212" i="13"/>
  <c r="BG229" i="13" s="1"/>
  <c r="AR229" i="13"/>
  <c r="AS229" i="13" s="1"/>
  <c r="AT229" i="13" s="1"/>
  <c r="AY229" i="13" s="1"/>
  <c r="BD229" i="13" s="1"/>
  <c r="BG251" i="13"/>
  <c r="BH251" i="13" s="1"/>
  <c r="AM223" i="2"/>
  <c r="AM232" i="2"/>
  <c r="AM228" i="2"/>
  <c r="AM219" i="2"/>
  <c r="AM214" i="2"/>
  <c r="AM210" i="2"/>
  <c r="AM200" i="2"/>
  <c r="AM182" i="2"/>
  <c r="AM196" i="2"/>
  <c r="AM191" i="2"/>
  <c r="AM178" i="2"/>
  <c r="AM187" i="2"/>
  <c r="AP162" i="2"/>
  <c r="AP167" i="2" s="1"/>
  <c r="AP168" i="2" s="1"/>
  <c r="B170" i="2"/>
  <c r="B144" i="2"/>
  <c r="C144" i="2" s="1"/>
  <c r="A144" i="2"/>
  <c r="AP131" i="2"/>
  <c r="C131" i="2"/>
  <c r="B131" i="2"/>
  <c r="A131" i="2"/>
  <c r="AP121" i="2"/>
  <c r="B126" i="2"/>
  <c r="C121" i="2"/>
  <c r="B121" i="2"/>
  <c r="A121" i="2"/>
  <c r="AP111" i="2"/>
  <c r="B116" i="2"/>
  <c r="C111" i="2"/>
  <c r="B111" i="2"/>
  <c r="A111" i="2"/>
  <c r="B96" i="2"/>
  <c r="AP101" i="2"/>
  <c r="B106" i="2"/>
  <c r="C101" i="2"/>
  <c r="A101" i="2"/>
  <c r="B101" i="2"/>
  <c r="AP91" i="2"/>
  <c r="C91" i="2"/>
  <c r="A91" i="2"/>
  <c r="B91" i="2"/>
  <c r="AP94" i="2" s="1"/>
  <c r="BB415" i="13" l="1"/>
  <c r="BB432" i="13" s="1"/>
  <c r="BC388" i="13"/>
  <c r="AT388" i="13" s="1"/>
  <c r="BB421" i="13"/>
  <c r="BD421" i="13" s="1"/>
  <c r="BE421" i="13" s="1"/>
  <c r="BF449" i="13"/>
  <c r="BG457" i="13"/>
  <c r="BH457" i="13" s="1"/>
  <c r="BD455" i="13"/>
  <c r="BG460" i="13" s="1"/>
  <c r="BH460" i="13" s="1"/>
  <c r="AR339" i="13"/>
  <c r="AI339" i="13" s="1"/>
  <c r="BE386" i="13"/>
  <c r="BC391" i="13" s="1"/>
  <c r="AT391" i="13" s="1"/>
  <c r="BE334" i="13"/>
  <c r="BC339" i="13" s="1"/>
  <c r="AT339" i="13" s="1"/>
  <c r="BE328" i="13"/>
  <c r="BG221" i="13"/>
  <c r="BH221" i="13" s="1"/>
  <c r="AR234" i="13"/>
  <c r="AI234" i="13" s="1"/>
  <c r="BE229" i="13"/>
  <c r="BC234" i="13" s="1"/>
  <c r="AT234" i="13" s="1"/>
  <c r="C31" i="1"/>
  <c r="AR103" i="2"/>
  <c r="AR104" i="2" s="1"/>
  <c r="AR105" i="2" s="1"/>
  <c r="AR113" i="2"/>
  <c r="AR114" i="2" s="1"/>
  <c r="AR115" i="2" s="1"/>
  <c r="C36" i="1"/>
  <c r="AR133" i="2"/>
  <c r="AR134" i="2" s="1"/>
  <c r="AR135" i="2" s="1"/>
  <c r="C46" i="1"/>
  <c r="AR123" i="2"/>
  <c r="AR124" i="2" s="1"/>
  <c r="AR125" i="2" s="1"/>
  <c r="C41" i="1"/>
  <c r="AR93" i="2"/>
  <c r="AR94" i="2" s="1"/>
  <c r="AR95" i="2" s="1"/>
  <c r="C26" i="1"/>
  <c r="AP134" i="2"/>
  <c r="AP124" i="2"/>
  <c r="AP114" i="2"/>
  <c r="AP104" i="2"/>
  <c r="AM159" i="2"/>
  <c r="AM150" i="2"/>
  <c r="AM164" i="2"/>
  <c r="AM155" i="2"/>
  <c r="AM168" i="2"/>
  <c r="AP79" i="2"/>
  <c r="AO82" i="2" s="1"/>
  <c r="H85" i="2" s="1"/>
  <c r="AP73" i="2"/>
  <c r="B79" i="2"/>
  <c r="C73" i="2"/>
  <c r="B73" i="2"/>
  <c r="A73" i="2"/>
  <c r="AP63" i="2"/>
  <c r="AO66" i="2" s="1"/>
  <c r="H69" i="2" s="1"/>
  <c r="AP57" i="2"/>
  <c r="B63" i="2"/>
  <c r="C57" i="2"/>
  <c r="B57" i="2"/>
  <c r="A57" i="2"/>
  <c r="AP47" i="2"/>
  <c r="AP41" i="2"/>
  <c r="B47" i="2"/>
  <c r="C41" i="2"/>
  <c r="B41" i="2"/>
  <c r="A41" i="2"/>
  <c r="AP31" i="2"/>
  <c r="AP25" i="2"/>
  <c r="B31" i="2"/>
  <c r="C25" i="2"/>
  <c r="B25" i="2"/>
  <c r="A25" i="2"/>
  <c r="AP15" i="2"/>
  <c r="AP9" i="2"/>
  <c r="B15" i="2"/>
  <c r="C9" i="2"/>
  <c r="A9" i="2"/>
  <c r="BF415" i="13" l="1"/>
  <c r="AR432" i="13"/>
  <c r="AS432" i="13" s="1"/>
  <c r="AT432" i="13" s="1"/>
  <c r="AY432" i="13" s="1"/>
  <c r="BD432" i="13" s="1"/>
  <c r="BE432" i="13" s="1"/>
  <c r="BD415" i="13"/>
  <c r="BE415" i="13" s="1"/>
  <c r="BH415" i="13" s="1"/>
  <c r="BG432" i="13" s="1"/>
  <c r="AR438" i="13"/>
  <c r="AS438" i="13" s="1"/>
  <c r="AT438" i="13" s="1"/>
  <c r="G29" i="2"/>
  <c r="G27" i="2"/>
  <c r="BB438" i="13"/>
  <c r="BF421" i="13"/>
  <c r="BG430" i="13" s="1"/>
  <c r="BH430" i="13" s="1"/>
  <c r="BF455" i="13"/>
  <c r="BH421" i="13"/>
  <c r="BG438" i="13" s="1"/>
  <c r="BC336" i="13"/>
  <c r="AT336" i="13" s="1"/>
  <c r="A138" i="2"/>
  <c r="A108" i="2"/>
  <c r="N13" i="5"/>
  <c r="Y13" i="5" s="1"/>
  <c r="AJ13" i="5" s="1"/>
  <c r="C6" i="1"/>
  <c r="AR35" i="2"/>
  <c r="AR36" i="2" s="1"/>
  <c r="AR37" i="2" s="1"/>
  <c r="N16" i="5"/>
  <c r="Y16" i="5" s="1"/>
  <c r="AJ16" i="5" s="1"/>
  <c r="C21" i="1"/>
  <c r="AR83" i="2"/>
  <c r="AR84" i="2" s="1"/>
  <c r="AR85" i="2" s="1"/>
  <c r="N15" i="5"/>
  <c r="Y15" i="5" s="1"/>
  <c r="AJ15" i="5" s="1"/>
  <c r="AR67" i="2"/>
  <c r="AR68" i="2" s="1"/>
  <c r="AR69" i="2" s="1"/>
  <c r="C16" i="1"/>
  <c r="N14" i="5"/>
  <c r="Y14" i="5" s="1"/>
  <c r="AJ14" i="5" s="1"/>
  <c r="AR51" i="2"/>
  <c r="AR52" i="2" s="1"/>
  <c r="AR53" i="2" s="1"/>
  <c r="C11" i="1"/>
  <c r="A38" i="2"/>
  <c r="A22" i="2"/>
  <c r="H14" i="2" s="1"/>
  <c r="H11" i="2" s="1"/>
  <c r="H16" i="2" s="1"/>
  <c r="H15" i="2" s="1"/>
  <c r="A300" i="2"/>
  <c r="A172" i="2"/>
  <c r="A54" i="2"/>
  <c r="A118" i="2"/>
  <c r="A268" i="2"/>
  <c r="A70" i="2"/>
  <c r="A236" i="2"/>
  <c r="A128" i="2"/>
  <c r="A86" i="2"/>
  <c r="A204" i="2"/>
  <c r="AP78" i="2"/>
  <c r="AP62" i="2"/>
  <c r="AP46" i="2"/>
  <c r="AP30" i="2"/>
  <c r="BG427" i="13" l="1"/>
  <c r="BH427" i="13" s="1"/>
  <c r="AR440" i="13"/>
  <c r="AI440" i="13" s="1"/>
  <c r="BC440" i="13"/>
  <c r="AT440" i="13" s="1"/>
  <c r="AR443" i="13"/>
  <c r="AI443" i="13" s="1"/>
  <c r="AY438" i="13"/>
  <c r="BD438" i="13" s="1"/>
  <c r="E12" i="7"/>
  <c r="I114" i="7"/>
  <c r="G29" i="5" s="1"/>
  <c r="AN29" i="5" s="1"/>
  <c r="I110" i="7"/>
  <c r="G28" i="5" s="1"/>
  <c r="AN28" i="5" s="1"/>
  <c r="BE438" i="13" l="1"/>
  <c r="BC443" i="13" s="1"/>
  <c r="AT443" i="13" s="1"/>
  <c r="I106" i="7"/>
  <c r="G27" i="5" s="1"/>
  <c r="H95" i="4"/>
  <c r="J46" i="5" s="1"/>
  <c r="AQ46" i="5" s="1"/>
  <c r="H34" i="4"/>
  <c r="H11" i="4"/>
  <c r="F26" i="15" l="1"/>
  <c r="N26" i="15" s="1"/>
  <c r="AN27" i="5"/>
  <c r="I115" i="7"/>
  <c r="H29" i="5" s="1"/>
  <c r="I116" i="7"/>
  <c r="J29" i="5" s="1"/>
  <c r="AQ29" i="5" s="1"/>
  <c r="I111" i="7"/>
  <c r="H28" i="5" s="1"/>
  <c r="I112" i="7"/>
  <c r="J28" i="5" s="1"/>
  <c r="AQ28" i="5" s="1"/>
  <c r="I107" i="7"/>
  <c r="H27" i="5" s="1"/>
  <c r="D12" i="10"/>
  <c r="J43" i="5"/>
  <c r="AQ43" i="5" s="1"/>
  <c r="J42" i="5"/>
  <c r="AQ42" i="5" s="1"/>
  <c r="J41" i="5"/>
  <c r="AQ41" i="5" s="1"/>
  <c r="J37" i="5"/>
  <c r="AQ37" i="5" s="1"/>
  <c r="J36" i="5"/>
  <c r="AQ36" i="5" s="1"/>
  <c r="J35" i="5"/>
  <c r="AQ35" i="5" s="1"/>
  <c r="J34" i="5"/>
  <c r="AQ34" i="5" s="1"/>
  <c r="I29" i="5" l="1"/>
  <c r="AP29" i="5" s="1"/>
  <c r="AO29" i="5"/>
  <c r="I28" i="5"/>
  <c r="AP28" i="5" s="1"/>
  <c r="AO28" i="5"/>
  <c r="I27" i="5"/>
  <c r="AP27" i="5" s="1"/>
  <c r="AO27" i="5"/>
  <c r="J44" i="5"/>
  <c r="I108" i="7"/>
  <c r="J27" i="5" s="1"/>
  <c r="AQ27" i="5" s="1"/>
  <c r="AO50" i="2"/>
  <c r="H53" i="2" s="1"/>
  <c r="AO34" i="2"/>
  <c r="H37" i="2" s="1"/>
  <c r="AO18" i="2"/>
  <c r="H21" i="2" s="1"/>
  <c r="J47" i="5" l="1"/>
  <c r="AQ47" i="5" s="1"/>
  <c r="AQ44" i="5"/>
  <c r="D16" i="1"/>
  <c r="E16" i="1" s="1"/>
  <c r="D11" i="1"/>
  <c r="E11" i="1" s="1"/>
  <c r="D6" i="1"/>
  <c r="E6" i="1" s="1"/>
  <c r="AO285" i="2" l="1"/>
  <c r="AO283" i="2"/>
  <c r="H298" i="2" s="1"/>
  <c r="AO253" i="2"/>
  <c r="AO251" i="2"/>
  <c r="H266" i="2" s="1"/>
  <c r="AO221" i="2"/>
  <c r="AO219" i="2"/>
  <c r="AO189" i="2"/>
  <c r="AO157" i="2"/>
  <c r="H234" i="2" l="1"/>
  <c r="K215" i="2"/>
  <c r="D31" i="1"/>
  <c r="E31" i="1" s="1"/>
  <c r="N21" i="5" l="1"/>
  <c r="Y21" i="5" s="1"/>
  <c r="AJ21" i="5" s="1"/>
  <c r="N20" i="5"/>
  <c r="Y20" i="5" s="1"/>
  <c r="AJ20" i="5" s="1"/>
  <c r="N19" i="5"/>
  <c r="Y19" i="5" s="1"/>
  <c r="AJ19" i="5" s="1"/>
  <c r="N18" i="5"/>
  <c r="Y18" i="5" s="1"/>
  <c r="AJ18" i="5" s="1"/>
  <c r="N17" i="5"/>
  <c r="Y17" i="5" s="1"/>
  <c r="AJ17" i="5" s="1"/>
  <c r="M26" i="5"/>
  <c r="X26" i="5" s="1"/>
  <c r="AI26" i="5" s="1"/>
  <c r="M25" i="5"/>
  <c r="X25" i="5" s="1"/>
  <c r="AI25" i="5" s="1"/>
  <c r="M24" i="5"/>
  <c r="X24" i="5" s="1"/>
  <c r="AI24" i="5" s="1"/>
  <c r="M23" i="5"/>
  <c r="X23" i="5" s="1"/>
  <c r="AI23" i="5" s="1"/>
  <c r="M21" i="5"/>
  <c r="X21" i="5" s="1"/>
  <c r="AI21" i="5" s="1"/>
  <c r="M20" i="5"/>
  <c r="X20" i="5" s="1"/>
  <c r="AI20" i="5" s="1"/>
  <c r="M19" i="5"/>
  <c r="X19" i="5" s="1"/>
  <c r="AI19" i="5" s="1"/>
  <c r="M18" i="5"/>
  <c r="X18" i="5" s="1"/>
  <c r="AI18" i="5" s="1"/>
  <c r="M17" i="5"/>
  <c r="X17" i="5" s="1"/>
  <c r="AI17" i="5" s="1"/>
  <c r="M16" i="5"/>
  <c r="X16" i="5" s="1"/>
  <c r="AI16" i="5" s="1"/>
  <c r="M15" i="5"/>
  <c r="X15" i="5" s="1"/>
  <c r="AI15" i="5" s="1"/>
  <c r="M14" i="5"/>
  <c r="X14" i="5" s="1"/>
  <c r="AI14" i="5" s="1"/>
  <c r="M13" i="5"/>
  <c r="X13" i="5" s="1"/>
  <c r="AI13" i="5" s="1"/>
  <c r="M12" i="5"/>
  <c r="X12" i="5" s="1"/>
  <c r="AI12" i="5" s="1"/>
  <c r="G93" i="2" l="1"/>
  <c r="G66" i="2"/>
  <c r="G135" i="2"/>
  <c r="G133" i="2"/>
  <c r="G125" i="2"/>
  <c r="G105" i="2"/>
  <c r="G123" i="2"/>
  <c r="G103" i="2"/>
  <c r="G115" i="2"/>
  <c r="G113" i="2"/>
  <c r="G95" i="2"/>
  <c r="H46" i="2"/>
  <c r="H43" i="2" s="1"/>
  <c r="H296" i="2"/>
  <c r="H264" i="2"/>
  <c r="H200" i="2"/>
  <c r="H232" i="2"/>
  <c r="H78" i="2"/>
  <c r="H96" i="2"/>
  <c r="H168" i="2"/>
  <c r="K146" i="2" s="1"/>
  <c r="H126" i="2"/>
  <c r="H106" i="2"/>
  <c r="H136" i="2"/>
  <c r="H116" i="2"/>
  <c r="H30" i="2"/>
  <c r="H62" i="2"/>
  <c r="H59" i="2" s="1"/>
  <c r="H378" i="12" l="1"/>
  <c r="K75" i="2"/>
  <c r="K77" i="2"/>
  <c r="H77" i="2"/>
  <c r="H75" i="2"/>
  <c r="H93" i="2"/>
  <c r="I11" i="2"/>
  <c r="M11" i="2" s="1"/>
  <c r="K11" i="2"/>
  <c r="H48" i="2"/>
  <c r="I43" i="2"/>
  <c r="M43" i="2" s="1"/>
  <c r="M50" i="2" s="1"/>
  <c r="H64" i="2"/>
  <c r="H63" i="2" s="1"/>
  <c r="E30" i="7" s="1"/>
  <c r="I59" i="2"/>
  <c r="M59" i="2" s="1"/>
  <c r="M66" i="2" s="1"/>
  <c r="H113" i="2"/>
  <c r="K13" i="2"/>
  <c r="H228" i="2"/>
  <c r="H210" i="2"/>
  <c r="K210" i="2"/>
  <c r="H230" i="2"/>
  <c r="I230" i="2" s="1"/>
  <c r="L230" i="2" s="1"/>
  <c r="K212" i="2"/>
  <c r="H212" i="2"/>
  <c r="I212" i="2" s="1"/>
  <c r="M212" i="2" s="1"/>
  <c r="M221" i="2" s="1"/>
  <c r="H198" i="2"/>
  <c r="I198" i="2" s="1"/>
  <c r="L198" i="2" s="1"/>
  <c r="K180" i="2"/>
  <c r="H180" i="2"/>
  <c r="I180" i="2" s="1"/>
  <c r="M180" i="2" s="1"/>
  <c r="M189" i="2" s="1"/>
  <c r="K178" i="2"/>
  <c r="H196" i="2"/>
  <c r="H178" i="2"/>
  <c r="H244" i="2"/>
  <c r="I244" i="2" s="1"/>
  <c r="M244" i="2" s="1"/>
  <c r="M253" i="2" s="1"/>
  <c r="K244" i="2"/>
  <c r="H262" i="2"/>
  <c r="I262" i="2" s="1"/>
  <c r="L262" i="2" s="1"/>
  <c r="H242" i="2"/>
  <c r="H260" i="2"/>
  <c r="K242" i="2"/>
  <c r="K276" i="2"/>
  <c r="H274" i="2"/>
  <c r="H276" i="2"/>
  <c r="H292" i="2"/>
  <c r="I292" i="2" s="1"/>
  <c r="K274" i="2"/>
  <c r="H294" i="2"/>
  <c r="I294" i="2" s="1"/>
  <c r="H13" i="2"/>
  <c r="I13" i="2" s="1"/>
  <c r="M13" i="2" s="1"/>
  <c r="M20" i="2" s="1"/>
  <c r="H115" i="2"/>
  <c r="I115" i="2" s="1"/>
  <c r="L115" i="2" s="1"/>
  <c r="H146" i="2"/>
  <c r="H172" i="2" s="1"/>
  <c r="H169" i="2" s="1"/>
  <c r="E69" i="7" s="1"/>
  <c r="H166" i="2"/>
  <c r="I166" i="2" s="1"/>
  <c r="L166" i="2" s="1"/>
  <c r="H164" i="2"/>
  <c r="K148" i="2"/>
  <c r="H148" i="2"/>
  <c r="K29" i="2"/>
  <c r="K27" i="2"/>
  <c r="H27" i="2"/>
  <c r="H32" i="2" s="1"/>
  <c r="H31" i="2" s="1"/>
  <c r="E18" i="7" s="1"/>
  <c r="H29" i="2"/>
  <c r="I29" i="2" s="1"/>
  <c r="M29" i="2" s="1"/>
  <c r="M36" i="2" s="1"/>
  <c r="H133" i="2"/>
  <c r="H135" i="2"/>
  <c r="I135" i="2" s="1"/>
  <c r="L135" i="2" s="1"/>
  <c r="H95" i="2"/>
  <c r="I95" i="2" s="1"/>
  <c r="L95" i="2" s="1"/>
  <c r="H125" i="2"/>
  <c r="I125" i="2" s="1"/>
  <c r="L125" i="2" s="1"/>
  <c r="H123" i="2"/>
  <c r="H103" i="2"/>
  <c r="H105" i="2"/>
  <c r="I105" i="2" s="1"/>
  <c r="L105" i="2" s="1"/>
  <c r="K61" i="2"/>
  <c r="K59" i="2"/>
  <c r="H61" i="2"/>
  <c r="I61" i="2" s="1"/>
  <c r="M61" i="2" s="1"/>
  <c r="M68" i="2" s="1"/>
  <c r="K45" i="2"/>
  <c r="H45" i="2"/>
  <c r="I45" i="2" s="1"/>
  <c r="M45" i="2" s="1"/>
  <c r="M52" i="2" s="1"/>
  <c r="K43" i="2"/>
  <c r="E294" i="2"/>
  <c r="E292" i="2"/>
  <c r="E276" i="2"/>
  <c r="E274" i="2"/>
  <c r="AJ297" i="2"/>
  <c r="Y297" i="2"/>
  <c r="M297" i="2"/>
  <c r="AJ296" i="2"/>
  <c r="Y296" i="2"/>
  <c r="M296" i="2"/>
  <c r="C290" i="2"/>
  <c r="AK288" i="2"/>
  <c r="Z288" i="2"/>
  <c r="N288" i="2"/>
  <c r="AK287" i="2"/>
  <c r="Z287" i="2"/>
  <c r="N287" i="2"/>
  <c r="V279" i="2"/>
  <c r="AJ279" i="2"/>
  <c r="AI279" i="2"/>
  <c r="Y279" i="2"/>
  <c r="X279" i="2"/>
  <c r="M279" i="2"/>
  <c r="L279" i="2"/>
  <c r="AJ278" i="2"/>
  <c r="AI278" i="2"/>
  <c r="Y278" i="2"/>
  <c r="X278" i="2"/>
  <c r="M278" i="2"/>
  <c r="L278" i="2"/>
  <c r="C272" i="2"/>
  <c r="B54" i="2" l="1"/>
  <c r="I47" i="2" s="1"/>
  <c r="H47" i="2"/>
  <c r="E24" i="7" s="1"/>
  <c r="I169" i="2"/>
  <c r="H96" i="12"/>
  <c r="K91" i="12" s="1"/>
  <c r="H166" i="12"/>
  <c r="H161" i="12" s="1"/>
  <c r="H250" i="12"/>
  <c r="K222" i="12" s="1"/>
  <c r="H374" i="12"/>
  <c r="H344" i="12"/>
  <c r="H357" i="12" s="1"/>
  <c r="K348" i="12"/>
  <c r="L348" i="12" s="1"/>
  <c r="H346" i="12"/>
  <c r="H359" i="12" s="1"/>
  <c r="H348" i="12"/>
  <c r="H361" i="12" s="1"/>
  <c r="H370" i="12"/>
  <c r="H381" i="12" s="1"/>
  <c r="K344" i="12"/>
  <c r="H36" i="12"/>
  <c r="H35" i="12" s="1"/>
  <c r="H142" i="12"/>
  <c r="H141" i="12" s="1"/>
  <c r="H292" i="12"/>
  <c r="H262" i="12" s="1"/>
  <c r="H275" i="12" s="1"/>
  <c r="S7" i="5"/>
  <c r="H130" i="12"/>
  <c r="H125" i="12" s="1"/>
  <c r="H334" i="12"/>
  <c r="K304" i="12" s="1"/>
  <c r="H208" i="12"/>
  <c r="H202" i="12" s="1"/>
  <c r="H76" i="12"/>
  <c r="H75" i="12" s="1"/>
  <c r="H84" i="12" s="1"/>
  <c r="H154" i="12"/>
  <c r="H153" i="12" s="1"/>
  <c r="H372" i="12"/>
  <c r="K346" i="12"/>
  <c r="N8" i="8"/>
  <c r="M5" i="7"/>
  <c r="M4" i="7"/>
  <c r="H16" i="12"/>
  <c r="H11" i="12" s="1"/>
  <c r="E4" i="12"/>
  <c r="H56" i="12"/>
  <c r="H118" i="12"/>
  <c r="H115" i="12" s="1"/>
  <c r="G50" i="2"/>
  <c r="G52" i="2"/>
  <c r="G43" i="2"/>
  <c r="G45" i="2"/>
  <c r="I93" i="2"/>
  <c r="J93" i="2" s="1"/>
  <c r="H98" i="2"/>
  <c r="I75" i="2"/>
  <c r="M75" i="2" s="1"/>
  <c r="M82" i="2" s="1"/>
  <c r="I77" i="2"/>
  <c r="M77" i="2" s="1"/>
  <c r="M84" i="2" s="1"/>
  <c r="H80" i="2"/>
  <c r="H79" i="2" s="1"/>
  <c r="E36" i="7" s="1"/>
  <c r="B22" i="2"/>
  <c r="I15" i="2" s="1"/>
  <c r="G11" i="2" s="1"/>
  <c r="B86" i="2"/>
  <c r="B70" i="2"/>
  <c r="H138" i="2"/>
  <c r="H137" i="2" s="1"/>
  <c r="E62" i="7" s="1"/>
  <c r="I133" i="2"/>
  <c r="L133" i="2" s="1"/>
  <c r="I164" i="2"/>
  <c r="L164" i="2" s="1"/>
  <c r="I196" i="2"/>
  <c r="L196" i="2" s="1"/>
  <c r="I228" i="2"/>
  <c r="L228" i="2" s="1"/>
  <c r="I260" i="2"/>
  <c r="L260" i="2" s="1"/>
  <c r="J292" i="2"/>
  <c r="L292" i="2"/>
  <c r="J294" i="2"/>
  <c r="L294" i="2"/>
  <c r="I276" i="2"/>
  <c r="M276" i="2" s="1"/>
  <c r="M285" i="2" s="1"/>
  <c r="H300" i="2"/>
  <c r="H297" i="2" s="1"/>
  <c r="E101" i="7" s="1"/>
  <c r="I274" i="2"/>
  <c r="M274" i="2" s="1"/>
  <c r="M283" i="2" s="1"/>
  <c r="H268" i="2"/>
  <c r="H265" i="2" s="1"/>
  <c r="E93" i="7" s="1"/>
  <c r="I242" i="2"/>
  <c r="M242" i="2" s="1"/>
  <c r="M251" i="2" s="1"/>
  <c r="H236" i="2"/>
  <c r="H233" i="2" s="1"/>
  <c r="E85" i="7" s="1"/>
  <c r="I210" i="2"/>
  <c r="M210" i="2" s="1"/>
  <c r="M219" i="2" s="1"/>
  <c r="H204" i="2"/>
  <c r="H201" i="2" s="1"/>
  <c r="E77" i="7" s="1"/>
  <c r="I178" i="2"/>
  <c r="M178" i="2" s="1"/>
  <c r="M187" i="2" s="1"/>
  <c r="H157" i="2"/>
  <c r="I148" i="2"/>
  <c r="M148" i="2" s="1"/>
  <c r="M157" i="2" s="1"/>
  <c r="I146" i="2"/>
  <c r="H128" i="2"/>
  <c r="H127" i="2" s="1"/>
  <c r="E57" i="7" s="1"/>
  <c r="I123" i="2"/>
  <c r="L123" i="2" s="1"/>
  <c r="H118" i="2"/>
  <c r="H117" i="2" s="1"/>
  <c r="E52" i="7" s="1"/>
  <c r="I113" i="2"/>
  <c r="L113" i="2" s="1"/>
  <c r="H108" i="2"/>
  <c r="H107" i="2" s="1"/>
  <c r="E47" i="7" s="1"/>
  <c r="I103" i="2"/>
  <c r="J103" i="2" s="1"/>
  <c r="B38" i="2"/>
  <c r="I31" i="2" s="1"/>
  <c r="I27" i="2"/>
  <c r="M27" i="2" s="1"/>
  <c r="M34" i="2" s="1"/>
  <c r="H52" i="2"/>
  <c r="H155" i="2"/>
  <c r="H50" i="2"/>
  <c r="H285" i="2"/>
  <c r="V278" i="2"/>
  <c r="AG279" i="2"/>
  <c r="W278" i="2"/>
  <c r="W279" i="2"/>
  <c r="J279" i="2"/>
  <c r="H283" i="2"/>
  <c r="J278" i="2"/>
  <c r="AG278" i="2"/>
  <c r="K279" i="2"/>
  <c r="AH279" i="2"/>
  <c r="K278" i="2"/>
  <c r="AH278" i="2"/>
  <c r="A114" i="1"/>
  <c r="A89" i="1"/>
  <c r="E262" i="2"/>
  <c r="E260" i="2"/>
  <c r="E244" i="2"/>
  <c r="E242" i="2"/>
  <c r="AJ265" i="2"/>
  <c r="Y265" i="2"/>
  <c r="M265" i="2"/>
  <c r="AJ264" i="2"/>
  <c r="Y264" i="2"/>
  <c r="M264" i="2"/>
  <c r="J262" i="2"/>
  <c r="C258" i="2"/>
  <c r="A109" i="1" s="1"/>
  <c r="AK256" i="2"/>
  <c r="Z256" i="2"/>
  <c r="N256" i="2"/>
  <c r="AK255" i="2"/>
  <c r="Z255" i="2"/>
  <c r="N255" i="2"/>
  <c r="J247" i="2"/>
  <c r="AJ247" i="2"/>
  <c r="AI247" i="2"/>
  <c r="Y247" i="2"/>
  <c r="X247" i="2"/>
  <c r="M247" i="2"/>
  <c r="L247" i="2"/>
  <c r="AJ246" i="2"/>
  <c r="AI246" i="2"/>
  <c r="Y246" i="2"/>
  <c r="X246" i="2"/>
  <c r="M246" i="2"/>
  <c r="L246" i="2"/>
  <c r="H253" i="2"/>
  <c r="C240" i="2"/>
  <c r="A85" i="1" s="1"/>
  <c r="B85" i="1" s="1"/>
  <c r="E230" i="2"/>
  <c r="E228" i="2"/>
  <c r="E212" i="2"/>
  <c r="E210" i="2"/>
  <c r="E198" i="2"/>
  <c r="E196" i="2"/>
  <c r="AJ233" i="2"/>
  <c r="Y233" i="2"/>
  <c r="M233" i="2"/>
  <c r="AJ232" i="2"/>
  <c r="Y232" i="2"/>
  <c r="M232" i="2"/>
  <c r="J230" i="2"/>
  <c r="C226" i="2"/>
  <c r="A104" i="1" s="1"/>
  <c r="AK224" i="2"/>
  <c r="Z224" i="2"/>
  <c r="N224" i="2"/>
  <c r="AK223" i="2"/>
  <c r="Z223" i="2"/>
  <c r="N223" i="2"/>
  <c r="AJ215" i="2"/>
  <c r="AI215" i="2"/>
  <c r="Y215" i="2"/>
  <c r="X215" i="2"/>
  <c r="M215" i="2"/>
  <c r="L215" i="2"/>
  <c r="AJ214" i="2"/>
  <c r="AI214" i="2"/>
  <c r="Y214" i="2"/>
  <c r="X214" i="2"/>
  <c r="M214" i="2"/>
  <c r="L214" i="2"/>
  <c r="H221" i="2"/>
  <c r="H219" i="2"/>
  <c r="C208" i="2"/>
  <c r="A81" i="1" s="1"/>
  <c r="B81" i="1" s="1"/>
  <c r="AJ201" i="2"/>
  <c r="AJ200" i="2"/>
  <c r="Y201" i="2"/>
  <c r="Y200" i="2"/>
  <c r="M201" i="2"/>
  <c r="M200" i="2"/>
  <c r="N192" i="2"/>
  <c r="N191" i="2"/>
  <c r="AJ183" i="2"/>
  <c r="AI183" i="2"/>
  <c r="AJ182" i="2"/>
  <c r="AI182" i="2"/>
  <c r="Y183" i="2"/>
  <c r="X183" i="2"/>
  <c r="Y182" i="2"/>
  <c r="X182" i="2"/>
  <c r="M183" i="2"/>
  <c r="L183" i="2"/>
  <c r="M182" i="2"/>
  <c r="L182" i="2"/>
  <c r="AJ169" i="2"/>
  <c r="AJ168" i="2"/>
  <c r="Y169" i="2"/>
  <c r="Y168" i="2"/>
  <c r="M169" i="2"/>
  <c r="M168" i="2"/>
  <c r="AJ151" i="2"/>
  <c r="AJ150" i="2"/>
  <c r="AI151" i="2"/>
  <c r="AI150" i="2"/>
  <c r="Y151" i="2"/>
  <c r="Y150" i="2"/>
  <c r="X151" i="2"/>
  <c r="X150" i="2"/>
  <c r="M151" i="2"/>
  <c r="M150" i="2"/>
  <c r="L151" i="2"/>
  <c r="L150" i="2"/>
  <c r="AK192" i="2"/>
  <c r="Z192" i="2"/>
  <c r="Z191" i="2"/>
  <c r="J198" i="2"/>
  <c r="C194" i="2"/>
  <c r="A99" i="1" s="1"/>
  <c r="B99" i="1" s="1"/>
  <c r="M293" i="13" s="1"/>
  <c r="E180" i="2"/>
  <c r="E178" i="2"/>
  <c r="A77" i="1"/>
  <c r="E164" i="2"/>
  <c r="C162" i="2"/>
  <c r="D46" i="1"/>
  <c r="E46" i="1" s="1"/>
  <c r="A49" i="1"/>
  <c r="J135" i="2"/>
  <c r="E135" i="2"/>
  <c r="E133" i="2"/>
  <c r="E125" i="2"/>
  <c r="E123" i="2"/>
  <c r="D41" i="1"/>
  <c r="E41" i="1" s="1"/>
  <c r="A44" i="1"/>
  <c r="J125" i="2"/>
  <c r="E148" i="2"/>
  <c r="E146" i="2"/>
  <c r="K1" i="7" l="1"/>
  <c r="N363" i="13"/>
  <c r="N380" i="13"/>
  <c r="N311" i="13"/>
  <c r="N328" i="13"/>
  <c r="H6" i="15"/>
  <c r="L8" i="5"/>
  <c r="K180" i="12"/>
  <c r="H97" i="2"/>
  <c r="E42" i="7" s="1"/>
  <c r="J344" i="12"/>
  <c r="I357" i="12" s="1"/>
  <c r="K262" i="12"/>
  <c r="H264" i="12"/>
  <c r="H277" i="12" s="1"/>
  <c r="H220" i="12"/>
  <c r="H233" i="12" s="1"/>
  <c r="H33" i="12"/>
  <c r="I33" i="12" s="1"/>
  <c r="M33" i="12" s="1"/>
  <c r="M42" i="12" s="1"/>
  <c r="K35" i="12"/>
  <c r="H176" i="12"/>
  <c r="H189" i="12" s="1"/>
  <c r="H91" i="12"/>
  <c r="I91" i="12" s="1"/>
  <c r="M91" i="12" s="1"/>
  <c r="M100" i="12" s="1"/>
  <c r="H222" i="12"/>
  <c r="H235" i="12" s="1"/>
  <c r="H129" i="12"/>
  <c r="I129" i="12" s="1"/>
  <c r="J346" i="12"/>
  <c r="I359" i="12" s="1"/>
  <c r="H218" i="12"/>
  <c r="H231" i="12" s="1"/>
  <c r="H206" i="12"/>
  <c r="I206" i="12" s="1"/>
  <c r="K95" i="12"/>
  <c r="H260" i="12"/>
  <c r="H273" i="12" s="1"/>
  <c r="H180" i="12"/>
  <c r="H193" i="12" s="1"/>
  <c r="H95" i="12"/>
  <c r="I95" i="12" s="1"/>
  <c r="M95" i="12" s="1"/>
  <c r="M104" i="12" s="1"/>
  <c r="H288" i="12"/>
  <c r="I288" i="12" s="1"/>
  <c r="J288" i="12" s="1"/>
  <c r="H290" i="12"/>
  <c r="I290" i="12" s="1"/>
  <c r="K176" i="12"/>
  <c r="K264" i="12"/>
  <c r="G13" i="2"/>
  <c r="K71" i="12"/>
  <c r="H163" i="12"/>
  <c r="I163" i="12" s="1"/>
  <c r="L163" i="12" s="1"/>
  <c r="H178" i="12"/>
  <c r="H191" i="12" s="1"/>
  <c r="H204" i="12"/>
  <c r="I204" i="12" s="1"/>
  <c r="L204" i="12" s="1"/>
  <c r="H286" i="12"/>
  <c r="I286" i="12" s="1"/>
  <c r="K75" i="12"/>
  <c r="H165" i="12"/>
  <c r="I165" i="12" s="1"/>
  <c r="H31" i="12"/>
  <c r="H38" i="12" s="1"/>
  <c r="H248" i="12"/>
  <c r="I248" i="12" s="1"/>
  <c r="K31" i="12"/>
  <c r="H246" i="12"/>
  <c r="I246" i="12" s="1"/>
  <c r="J348" i="12"/>
  <c r="I361" i="12" s="1"/>
  <c r="H139" i="12"/>
  <c r="I139" i="12" s="1"/>
  <c r="J139" i="12" s="1"/>
  <c r="H306" i="12"/>
  <c r="H319" i="12" s="1"/>
  <c r="H302" i="12"/>
  <c r="H315" i="12" s="1"/>
  <c r="K302" i="12"/>
  <c r="H328" i="12"/>
  <c r="I328" i="12" s="1"/>
  <c r="H137" i="12"/>
  <c r="I137" i="12" s="1"/>
  <c r="K306" i="12"/>
  <c r="H304" i="12"/>
  <c r="H317" i="12" s="1"/>
  <c r="H332" i="12"/>
  <c r="I332" i="12" s="1"/>
  <c r="H330" i="12"/>
  <c r="I330" i="12" s="1"/>
  <c r="J330" i="12" s="1"/>
  <c r="K178" i="12"/>
  <c r="H71" i="12"/>
  <c r="I71" i="12" s="1"/>
  <c r="M71" i="12" s="1"/>
  <c r="H149" i="12"/>
  <c r="I149" i="12" s="1"/>
  <c r="K260" i="12"/>
  <c r="K220" i="12"/>
  <c r="H244" i="12"/>
  <c r="I244" i="12" s="1"/>
  <c r="L244" i="12" s="1"/>
  <c r="K218" i="12"/>
  <c r="I370" i="12"/>
  <c r="H382" i="12"/>
  <c r="H379" i="12" s="1"/>
  <c r="M101" i="7" s="1"/>
  <c r="I348" i="12"/>
  <c r="M348" i="12" s="1"/>
  <c r="I346" i="12"/>
  <c r="M346" i="12" s="1"/>
  <c r="M359" i="12" s="1"/>
  <c r="I344" i="12"/>
  <c r="M344" i="12" s="1"/>
  <c r="M357" i="12" s="1"/>
  <c r="I372" i="12"/>
  <c r="J372" i="12" s="1"/>
  <c r="I374" i="12"/>
  <c r="L5" i="4"/>
  <c r="H168" i="12"/>
  <c r="I161" i="12"/>
  <c r="I153" i="12"/>
  <c r="I141" i="12"/>
  <c r="I125" i="12"/>
  <c r="H132" i="12"/>
  <c r="I75" i="12"/>
  <c r="M75" i="12" s="1"/>
  <c r="H51" i="12"/>
  <c r="K55" i="12"/>
  <c r="K51" i="12"/>
  <c r="H55" i="12"/>
  <c r="I35" i="12"/>
  <c r="M35" i="12" s="1"/>
  <c r="M44" i="12" s="1"/>
  <c r="H44" i="12"/>
  <c r="I202" i="12"/>
  <c r="L4" i="4"/>
  <c r="N7" i="8"/>
  <c r="P1" i="8" s="1"/>
  <c r="H13" i="12"/>
  <c r="K15" i="12"/>
  <c r="K13" i="12"/>
  <c r="K11" i="12"/>
  <c r="H15" i="12"/>
  <c r="H93" i="12"/>
  <c r="K93" i="12"/>
  <c r="I115" i="12"/>
  <c r="J115" i="12" s="1"/>
  <c r="K33" i="12"/>
  <c r="L346" i="12"/>
  <c r="I262" i="12"/>
  <c r="M262" i="12" s="1"/>
  <c r="M275" i="12" s="1"/>
  <c r="H151" i="12"/>
  <c r="I151" i="12" s="1"/>
  <c r="L151" i="12" s="1"/>
  <c r="H73" i="12"/>
  <c r="I73" i="12" s="1"/>
  <c r="H113" i="12"/>
  <c r="I113" i="12" s="1"/>
  <c r="L113" i="12" s="1"/>
  <c r="K73" i="12"/>
  <c r="H53" i="12"/>
  <c r="H127" i="12"/>
  <c r="I127" i="12" s="1"/>
  <c r="L127" i="12" s="1"/>
  <c r="K53" i="12"/>
  <c r="H117" i="12"/>
  <c r="I117" i="12" s="1"/>
  <c r="L117" i="12" s="1"/>
  <c r="B236" i="2"/>
  <c r="I233" i="2" s="1"/>
  <c r="B300" i="2"/>
  <c r="I297" i="2" s="1"/>
  <c r="B204" i="2"/>
  <c r="I201" i="2" s="1"/>
  <c r="B268" i="2"/>
  <c r="I265" i="2" s="1"/>
  <c r="L93" i="2"/>
  <c r="G34" i="2"/>
  <c r="G36" i="2"/>
  <c r="I63" i="2"/>
  <c r="I79" i="2"/>
  <c r="B138" i="2"/>
  <c r="I137" i="2" s="1"/>
  <c r="B128" i="2"/>
  <c r="I127" i="2" s="1"/>
  <c r="B118" i="2"/>
  <c r="I117" i="2" s="1"/>
  <c r="B108" i="2"/>
  <c r="I107" i="2" s="1"/>
  <c r="B98" i="2"/>
  <c r="I97" i="2" s="1"/>
  <c r="C99" i="1"/>
  <c r="C81" i="1"/>
  <c r="C85" i="1"/>
  <c r="M18" i="2"/>
  <c r="H54" i="2"/>
  <c r="E50" i="2" s="1"/>
  <c r="J196" i="2"/>
  <c r="J228" i="2"/>
  <c r="M146" i="2"/>
  <c r="J260" i="2"/>
  <c r="J123" i="2"/>
  <c r="J133" i="2"/>
  <c r="L103" i="2"/>
  <c r="J113" i="2"/>
  <c r="AH183" i="2"/>
  <c r="V182" i="2"/>
  <c r="H251" i="2"/>
  <c r="J182" i="2"/>
  <c r="AG182" i="2"/>
  <c r="J183" i="2"/>
  <c r="AG183" i="2"/>
  <c r="J214" i="2"/>
  <c r="V214" i="2"/>
  <c r="AG214" i="2"/>
  <c r="J215" i="2"/>
  <c r="V215" i="2"/>
  <c r="AG215" i="2"/>
  <c r="K182" i="2"/>
  <c r="AH182" i="2"/>
  <c r="K214" i="2"/>
  <c r="W214" i="2"/>
  <c r="AH214" i="2"/>
  <c r="W215" i="2"/>
  <c r="AH215" i="2"/>
  <c r="V247" i="2"/>
  <c r="AH246" i="2"/>
  <c r="K246" i="2"/>
  <c r="J246" i="2"/>
  <c r="V246" i="2"/>
  <c r="K247" i="2"/>
  <c r="W246" i="2"/>
  <c r="W247" i="2"/>
  <c r="AG247" i="2"/>
  <c r="AG246" i="2"/>
  <c r="AH247" i="2"/>
  <c r="AH150" i="2"/>
  <c r="V183" i="2"/>
  <c r="K183" i="2"/>
  <c r="W183" i="2"/>
  <c r="H189" i="2"/>
  <c r="H187" i="2"/>
  <c r="W182" i="2"/>
  <c r="W150" i="2"/>
  <c r="AG151" i="2"/>
  <c r="K151" i="2"/>
  <c r="W151" i="2"/>
  <c r="AH151" i="2"/>
  <c r="V151" i="2"/>
  <c r="J151" i="2"/>
  <c r="V150" i="2"/>
  <c r="E115" i="2"/>
  <c r="E113" i="2"/>
  <c r="D36" i="1"/>
  <c r="E36" i="1" s="1"/>
  <c r="A39" i="1"/>
  <c r="J115" i="2"/>
  <c r="A34" i="1"/>
  <c r="E105" i="2"/>
  <c r="E103" i="2"/>
  <c r="J105" i="2"/>
  <c r="D85" i="1" l="1"/>
  <c r="N365" i="13"/>
  <c r="Z363" i="13"/>
  <c r="W380" i="13"/>
  <c r="D81" i="1"/>
  <c r="N313" i="13"/>
  <c r="Z311" i="13"/>
  <c r="W328" i="13"/>
  <c r="D99" i="1"/>
  <c r="W293" i="13"/>
  <c r="M295" i="13"/>
  <c r="L1" i="4"/>
  <c r="I264" i="12"/>
  <c r="M264" i="12" s="1"/>
  <c r="M277" i="12" s="1"/>
  <c r="H42" i="12"/>
  <c r="H144" i="12"/>
  <c r="H143" i="12" s="1"/>
  <c r="M52" i="7" s="1"/>
  <c r="H104" i="12"/>
  <c r="I222" i="12"/>
  <c r="M222" i="12" s="1"/>
  <c r="M235" i="12" s="1"/>
  <c r="I167" i="12"/>
  <c r="H167" i="12"/>
  <c r="M62" i="7" s="1"/>
  <c r="I131" i="12"/>
  <c r="H131" i="12"/>
  <c r="M47" i="7" s="1"/>
  <c r="H37" i="12"/>
  <c r="M18" i="7" s="1"/>
  <c r="H98" i="12"/>
  <c r="H100" i="12"/>
  <c r="I220" i="12"/>
  <c r="M220" i="12" s="1"/>
  <c r="M233" i="12" s="1"/>
  <c r="H212" i="12"/>
  <c r="H254" i="12"/>
  <c r="H40" i="12"/>
  <c r="H296" i="12"/>
  <c r="H293" i="12" s="1"/>
  <c r="M85" i="7" s="1"/>
  <c r="I176" i="12"/>
  <c r="M176" i="12" s="1"/>
  <c r="M189" i="12" s="1"/>
  <c r="I260" i="12"/>
  <c r="M260" i="12" s="1"/>
  <c r="M273" i="12" s="1"/>
  <c r="I218" i="12"/>
  <c r="M218" i="12" s="1"/>
  <c r="M231" i="12" s="1"/>
  <c r="I180" i="12"/>
  <c r="M180" i="12" s="1"/>
  <c r="M193" i="12" s="1"/>
  <c r="I178" i="12"/>
  <c r="M178" i="12" s="1"/>
  <c r="M191" i="12" s="1"/>
  <c r="H78" i="12"/>
  <c r="H80" i="12"/>
  <c r="H156" i="12"/>
  <c r="I306" i="12"/>
  <c r="M306" i="12" s="1"/>
  <c r="M319" i="12" s="1"/>
  <c r="I31" i="12"/>
  <c r="M31" i="12" s="1"/>
  <c r="M40" i="12" s="1"/>
  <c r="I304" i="12"/>
  <c r="M304" i="12" s="1"/>
  <c r="M317" i="12" s="1"/>
  <c r="O348" i="12"/>
  <c r="O361" i="12" s="1"/>
  <c r="P361" i="12" s="1"/>
  <c r="H338" i="12"/>
  <c r="I302" i="12"/>
  <c r="M302" i="12" s="1"/>
  <c r="M315" i="12" s="1"/>
  <c r="G165" i="12"/>
  <c r="G161" i="12"/>
  <c r="G163" i="12"/>
  <c r="G153" i="12"/>
  <c r="G149" i="12"/>
  <c r="G151" i="12"/>
  <c r="G127" i="12"/>
  <c r="G129" i="12"/>
  <c r="G125" i="12"/>
  <c r="G100" i="12"/>
  <c r="G95" i="12"/>
  <c r="G102" i="12"/>
  <c r="G91" i="12"/>
  <c r="G93" i="12"/>
  <c r="G104" i="12"/>
  <c r="G71" i="12"/>
  <c r="G75" i="12"/>
  <c r="L75" i="12" s="1"/>
  <c r="G84" i="12"/>
  <c r="G80" i="12"/>
  <c r="G73" i="12"/>
  <c r="G82" i="12"/>
  <c r="L372" i="12"/>
  <c r="L330" i="12"/>
  <c r="J374" i="12"/>
  <c r="L374" i="12"/>
  <c r="I379" i="12"/>
  <c r="M361" i="12"/>
  <c r="Q348" i="12"/>
  <c r="R348" i="12" s="1"/>
  <c r="S348" i="12" s="1"/>
  <c r="N355" i="12"/>
  <c r="N352" i="12" s="1"/>
  <c r="O352" i="12" s="1"/>
  <c r="L370" i="12"/>
  <c r="J370" i="12"/>
  <c r="N354" i="12"/>
  <c r="N351" i="12" s="1"/>
  <c r="O351" i="12" s="1"/>
  <c r="Q346" i="12"/>
  <c r="R346" i="12" s="1"/>
  <c r="S346" i="12" s="1"/>
  <c r="L328" i="12"/>
  <c r="J328" i="12"/>
  <c r="J332" i="12"/>
  <c r="L332" i="12"/>
  <c r="G332" i="12"/>
  <c r="G330" i="12"/>
  <c r="G328" i="12"/>
  <c r="H337" i="12" s="1"/>
  <c r="G317" i="12"/>
  <c r="G319" i="12"/>
  <c r="G315" i="12"/>
  <c r="G306" i="12"/>
  <c r="G304" i="12"/>
  <c r="L290" i="12"/>
  <c r="J290" i="12"/>
  <c r="J286" i="12"/>
  <c r="L286" i="12"/>
  <c r="J244" i="12"/>
  <c r="L248" i="12"/>
  <c r="J248" i="12"/>
  <c r="J161" i="12"/>
  <c r="L161" i="12"/>
  <c r="L165" i="12"/>
  <c r="J165" i="12"/>
  <c r="L149" i="12"/>
  <c r="J149" i="12"/>
  <c r="J153" i="12"/>
  <c r="L153" i="12"/>
  <c r="L141" i="12"/>
  <c r="J141" i="12"/>
  <c r="L137" i="12"/>
  <c r="J137" i="12"/>
  <c r="J129" i="12"/>
  <c r="L129" i="12"/>
  <c r="L125" i="12"/>
  <c r="J125" i="12"/>
  <c r="H102" i="12"/>
  <c r="M84" i="12"/>
  <c r="I51" i="12"/>
  <c r="M51" i="12" s="1"/>
  <c r="M60" i="12" s="1"/>
  <c r="H58" i="12"/>
  <c r="M73" i="12"/>
  <c r="M82" i="12" s="1"/>
  <c r="M80" i="12"/>
  <c r="H64" i="12"/>
  <c r="I55" i="12"/>
  <c r="M55" i="12" s="1"/>
  <c r="M64" i="12" s="1"/>
  <c r="H62" i="12"/>
  <c r="H60" i="12"/>
  <c r="H18" i="12"/>
  <c r="I37" i="12"/>
  <c r="L202" i="12"/>
  <c r="J202" i="12"/>
  <c r="L206" i="12"/>
  <c r="J206" i="12"/>
  <c r="H22" i="12"/>
  <c r="I13" i="12"/>
  <c r="M13" i="12" s="1"/>
  <c r="M22" i="12" s="1"/>
  <c r="L288" i="12"/>
  <c r="I11" i="12"/>
  <c r="M11" i="12" s="1"/>
  <c r="M20" i="12" s="1"/>
  <c r="J163" i="12"/>
  <c r="H24" i="12"/>
  <c r="J204" i="12"/>
  <c r="H20" i="12"/>
  <c r="I15" i="12"/>
  <c r="M15" i="12" s="1"/>
  <c r="M24" i="12" s="1"/>
  <c r="L115" i="12"/>
  <c r="L344" i="12"/>
  <c r="E357" i="12"/>
  <c r="I93" i="12"/>
  <c r="J151" i="12"/>
  <c r="J117" i="12"/>
  <c r="G372" i="12"/>
  <c r="J246" i="12"/>
  <c r="L246" i="12"/>
  <c r="J113" i="12"/>
  <c r="L139" i="12"/>
  <c r="J127" i="12"/>
  <c r="H120" i="12"/>
  <c r="H119" i="12" s="1"/>
  <c r="M42" i="7" s="1"/>
  <c r="H82" i="12"/>
  <c r="I53" i="12"/>
  <c r="M53" i="12" s="1"/>
  <c r="M62" i="12" s="1"/>
  <c r="G198" i="2"/>
  <c r="G196" i="2"/>
  <c r="H203" i="2" s="1"/>
  <c r="E187" i="2" s="1"/>
  <c r="G253" i="2"/>
  <c r="G251" i="2"/>
  <c r="G262" i="2"/>
  <c r="K262" i="2" s="1"/>
  <c r="G244" i="2"/>
  <c r="I256" i="2" s="1"/>
  <c r="G242" i="2"/>
  <c r="I255" i="2" s="1"/>
  <c r="G260" i="2"/>
  <c r="H267" i="2" s="1"/>
  <c r="E251" i="2" s="1"/>
  <c r="E253" i="2" s="1"/>
  <c r="G157" i="2"/>
  <c r="G155" i="2"/>
  <c r="G166" i="2"/>
  <c r="G148" i="2"/>
  <c r="I160" i="2" s="1"/>
  <c r="G164" i="2"/>
  <c r="H171" i="2" s="1"/>
  <c r="E155" i="2" s="1"/>
  <c r="G146" i="2"/>
  <c r="G230" i="2"/>
  <c r="K230" i="2" s="1"/>
  <c r="Q230" i="2" s="1"/>
  <c r="R230" i="2" s="1"/>
  <c r="S230" i="2" s="1"/>
  <c r="G212" i="2"/>
  <c r="I224" i="2" s="1"/>
  <c r="G228" i="2"/>
  <c r="H235" i="2" s="1"/>
  <c r="E219" i="2" s="1"/>
  <c r="G210" i="2"/>
  <c r="I223" i="2" s="1"/>
  <c r="G221" i="2"/>
  <c r="G219" i="2"/>
  <c r="G180" i="2"/>
  <c r="I192" i="2" s="1"/>
  <c r="G178" i="2"/>
  <c r="I191" i="2" s="1"/>
  <c r="G189" i="2"/>
  <c r="G187" i="2"/>
  <c r="G294" i="2"/>
  <c r="K294" i="2" s="1"/>
  <c r="G276" i="2"/>
  <c r="I288" i="2" s="1"/>
  <c r="G292" i="2"/>
  <c r="H299" i="2" s="1"/>
  <c r="E283" i="2" s="1"/>
  <c r="E285" i="2" s="1"/>
  <c r="G274" i="2"/>
  <c r="I287" i="2" s="1"/>
  <c r="G285" i="2"/>
  <c r="G283" i="2"/>
  <c r="G68" i="2"/>
  <c r="G61" i="2"/>
  <c r="G59" i="2"/>
  <c r="G82" i="2"/>
  <c r="G77" i="2"/>
  <c r="G84" i="2"/>
  <c r="G75" i="2"/>
  <c r="L75" i="2" s="1"/>
  <c r="J11" i="2"/>
  <c r="G20" i="2"/>
  <c r="G18" i="2"/>
  <c r="K135" i="2"/>
  <c r="N133" i="2"/>
  <c r="P133" i="2" s="1"/>
  <c r="K125" i="2"/>
  <c r="N123" i="2"/>
  <c r="P123" i="2" s="1"/>
  <c r="K113" i="2"/>
  <c r="K115" i="2"/>
  <c r="N103" i="2"/>
  <c r="P103" i="2" s="1"/>
  <c r="N105" i="2"/>
  <c r="P105" i="2" s="1"/>
  <c r="E52" i="2"/>
  <c r="G23" i="7"/>
  <c r="M155" i="2"/>
  <c r="E77" i="2"/>
  <c r="E75" i="2"/>
  <c r="E61" i="2"/>
  <c r="E59" i="2"/>
  <c r="E45" i="2"/>
  <c r="E43" i="2"/>
  <c r="E29" i="2"/>
  <c r="E27" i="2"/>
  <c r="A19" i="1"/>
  <c r="B19" i="1" s="1"/>
  <c r="N83" i="13" s="1"/>
  <c r="H66" i="2"/>
  <c r="A14" i="1"/>
  <c r="B14" i="1" s="1"/>
  <c r="N59" i="13" s="1"/>
  <c r="L43" i="2"/>
  <c r="A9" i="1"/>
  <c r="E13" i="2"/>
  <c r="E11" i="2"/>
  <c r="A4" i="1"/>
  <c r="B4" i="1" s="1"/>
  <c r="N11" i="13" s="1"/>
  <c r="H20" i="2"/>
  <c r="E85" i="1" l="1"/>
  <c r="N367" i="13"/>
  <c r="AK363" i="13"/>
  <c r="E81" i="1"/>
  <c r="N315" i="13"/>
  <c r="Z313" i="13"/>
  <c r="AK311" i="13"/>
  <c r="E99" i="1"/>
  <c r="M297" i="13"/>
  <c r="W295" i="13"/>
  <c r="H17" i="12"/>
  <c r="M12" i="7" s="1"/>
  <c r="I17" i="12"/>
  <c r="G11" i="12" s="1"/>
  <c r="I143" i="12"/>
  <c r="I195" i="12"/>
  <c r="V419" i="13"/>
  <c r="Q107" i="13"/>
  <c r="R107" i="13" s="1"/>
  <c r="S107" i="13" s="1"/>
  <c r="O107" i="13"/>
  <c r="L73" i="12"/>
  <c r="I196" i="12"/>
  <c r="V417" i="13"/>
  <c r="L93" i="12"/>
  <c r="I323" i="12"/>
  <c r="I322" i="12"/>
  <c r="I122" i="13"/>
  <c r="Q111" i="13"/>
  <c r="R111" i="13" s="1"/>
  <c r="S111" i="13" s="1"/>
  <c r="O111" i="13"/>
  <c r="J146" i="2"/>
  <c r="I155" i="2" s="1"/>
  <c r="I159" i="2"/>
  <c r="L302" i="12"/>
  <c r="N311" i="12" s="1"/>
  <c r="N308" i="12" s="1"/>
  <c r="O308" i="12" s="1"/>
  <c r="I321" i="12"/>
  <c r="P348" i="12"/>
  <c r="I293" i="12"/>
  <c r="G277" i="12" s="1"/>
  <c r="I57" i="12"/>
  <c r="H57" i="12"/>
  <c r="M24" i="7" s="1"/>
  <c r="I77" i="12"/>
  <c r="H77" i="12"/>
  <c r="M30" i="7" s="1"/>
  <c r="H251" i="12"/>
  <c r="M77" i="7" s="1"/>
  <c r="I97" i="12"/>
  <c r="H97" i="12"/>
  <c r="M36" i="7" s="1"/>
  <c r="I335" i="12"/>
  <c r="H335" i="12"/>
  <c r="M93" i="7" s="1"/>
  <c r="I209" i="12"/>
  <c r="H209" i="12"/>
  <c r="M69" i="7" s="1"/>
  <c r="I155" i="12"/>
  <c r="H155" i="12"/>
  <c r="M57" i="7" s="1"/>
  <c r="H106" i="12"/>
  <c r="E100" i="12" s="1"/>
  <c r="E102" i="12" s="1"/>
  <c r="E104" i="12" s="1"/>
  <c r="I251" i="12"/>
  <c r="H86" i="12"/>
  <c r="E80" i="12" s="1"/>
  <c r="E82" i="12" s="1"/>
  <c r="E84" i="12" s="1"/>
  <c r="N372" i="12"/>
  <c r="P372" i="12" s="1"/>
  <c r="J73" i="12"/>
  <c r="O73" i="12" s="1"/>
  <c r="P73" i="12" s="1"/>
  <c r="G248" i="12"/>
  <c r="N248" i="12" s="1"/>
  <c r="P248" i="12" s="1"/>
  <c r="G246" i="12"/>
  <c r="N246" i="12" s="1"/>
  <c r="P246" i="12" s="1"/>
  <c r="G244" i="12"/>
  <c r="N244" i="12" s="1"/>
  <c r="P244" i="12" s="1"/>
  <c r="E315" i="12"/>
  <c r="E317" i="12" s="1"/>
  <c r="J93" i="12"/>
  <c r="I102" i="12" s="1"/>
  <c r="I119" i="12"/>
  <c r="G117" i="12" s="1"/>
  <c r="N117" i="12" s="1"/>
  <c r="P117" i="12" s="1"/>
  <c r="K163" i="12"/>
  <c r="N151" i="12"/>
  <c r="P151" i="12" s="1"/>
  <c r="G139" i="12"/>
  <c r="K139" i="12" s="1"/>
  <c r="G137" i="12"/>
  <c r="N137" i="12" s="1"/>
  <c r="P137" i="12" s="1"/>
  <c r="G141" i="12"/>
  <c r="N141" i="12" s="1"/>
  <c r="P141" i="12" s="1"/>
  <c r="J95" i="12"/>
  <c r="I104" i="12" s="1"/>
  <c r="L95" i="12"/>
  <c r="J91" i="12"/>
  <c r="L91" i="12"/>
  <c r="J75" i="12"/>
  <c r="J71" i="12"/>
  <c r="I80" i="12" s="1"/>
  <c r="L71" i="12"/>
  <c r="G62" i="12"/>
  <c r="G60" i="12"/>
  <c r="H66" i="12" s="1"/>
  <c r="G64" i="12"/>
  <c r="G51" i="12"/>
  <c r="G55" i="12"/>
  <c r="G53" i="12"/>
  <c r="G113" i="12"/>
  <c r="K113" i="12" s="1"/>
  <c r="G31" i="12"/>
  <c r="G42" i="12"/>
  <c r="G33" i="12"/>
  <c r="G40" i="12"/>
  <c r="H46" i="12" s="1"/>
  <c r="G35" i="12"/>
  <c r="G44" i="12"/>
  <c r="K206" i="12"/>
  <c r="N330" i="12"/>
  <c r="P330" i="12" s="1"/>
  <c r="R361" i="12"/>
  <c r="T348" i="12"/>
  <c r="N370" i="12"/>
  <c r="P370" i="12" s="1"/>
  <c r="K370" i="12"/>
  <c r="K374" i="12"/>
  <c r="N374" i="12"/>
  <c r="P374" i="12" s="1"/>
  <c r="R359" i="12"/>
  <c r="T346" i="12"/>
  <c r="N353" i="12"/>
  <c r="Q344" i="12"/>
  <c r="R344" i="12" s="1"/>
  <c r="S344" i="12" s="1"/>
  <c r="O344" i="12"/>
  <c r="E359" i="12"/>
  <c r="N328" i="12"/>
  <c r="P328" i="12" s="1"/>
  <c r="K328" i="12"/>
  <c r="N332" i="12"/>
  <c r="P332" i="12" s="1"/>
  <c r="K332" i="12"/>
  <c r="G262" i="12"/>
  <c r="J302" i="12"/>
  <c r="G275" i="12"/>
  <c r="L304" i="12"/>
  <c r="J304" i="12"/>
  <c r="I317" i="12" s="1"/>
  <c r="J306" i="12"/>
  <c r="L306" i="12"/>
  <c r="G273" i="12"/>
  <c r="G264" i="12"/>
  <c r="G288" i="12"/>
  <c r="K288" i="12" s="1"/>
  <c r="G290" i="12"/>
  <c r="K290" i="12" s="1"/>
  <c r="G286" i="12"/>
  <c r="K286" i="12" s="1"/>
  <c r="N165" i="12"/>
  <c r="P165" i="12" s="1"/>
  <c r="K165" i="12"/>
  <c r="N161" i="12"/>
  <c r="P161" i="12" s="1"/>
  <c r="K161" i="12"/>
  <c r="K153" i="12"/>
  <c r="N153" i="12"/>
  <c r="P153" i="12" s="1"/>
  <c r="K149" i="12"/>
  <c r="N149" i="12"/>
  <c r="P149" i="12" s="1"/>
  <c r="N125" i="12"/>
  <c r="P125" i="12" s="1"/>
  <c r="K125" i="12"/>
  <c r="N129" i="12"/>
  <c r="P129" i="12" s="1"/>
  <c r="K129" i="12"/>
  <c r="M93" i="12"/>
  <c r="N204" i="12"/>
  <c r="P204" i="12" s="1"/>
  <c r="N202" i="12"/>
  <c r="P202" i="12" s="1"/>
  <c r="K202" i="12"/>
  <c r="H211" i="12"/>
  <c r="N163" i="12"/>
  <c r="P163" i="12" s="1"/>
  <c r="K204" i="12"/>
  <c r="L178" i="12"/>
  <c r="J178" i="12"/>
  <c r="I191" i="12" s="1"/>
  <c r="L176" i="12"/>
  <c r="J176" i="12"/>
  <c r="I189" i="12" s="1"/>
  <c r="K330" i="12"/>
  <c r="K151" i="12"/>
  <c r="K372" i="12"/>
  <c r="N127" i="12"/>
  <c r="P127" i="12" s="1"/>
  <c r="K127" i="12"/>
  <c r="E221" i="2"/>
  <c r="K196" i="2"/>
  <c r="N200" i="2" s="1"/>
  <c r="O200" i="2" s="1"/>
  <c r="N228" i="2"/>
  <c r="P228" i="2" s="1"/>
  <c r="K228" i="2"/>
  <c r="N265" i="2"/>
  <c r="O265" i="2" s="1"/>
  <c r="Q294" i="2"/>
  <c r="R294" i="2" s="1"/>
  <c r="S294" i="2" s="1"/>
  <c r="N262" i="2"/>
  <c r="P262" i="2" s="1"/>
  <c r="Q262" i="2"/>
  <c r="R262" i="2" s="1"/>
  <c r="S262" i="2" s="1"/>
  <c r="T262" i="2" s="1"/>
  <c r="N297" i="2"/>
  <c r="O297" i="2" s="1"/>
  <c r="L77" i="2"/>
  <c r="N292" i="2"/>
  <c r="P292" i="2" s="1"/>
  <c r="N230" i="2"/>
  <c r="P230" i="2" s="1"/>
  <c r="N196" i="2"/>
  <c r="P196" i="2" s="1"/>
  <c r="H70" i="2"/>
  <c r="G29" i="7" s="1"/>
  <c r="N260" i="2"/>
  <c r="P260" i="2" s="1"/>
  <c r="J77" i="2"/>
  <c r="J178" i="2"/>
  <c r="I187" i="2" s="1"/>
  <c r="L146" i="2"/>
  <c r="L244" i="2"/>
  <c r="J244" i="2"/>
  <c r="I253" i="2" s="1"/>
  <c r="Q113" i="2"/>
  <c r="R113" i="2" s="1"/>
  <c r="S113" i="2" s="1"/>
  <c r="Q135" i="2"/>
  <c r="R135" i="2" s="1"/>
  <c r="S135" i="2" s="1"/>
  <c r="J210" i="2"/>
  <c r="I219" i="2" s="1"/>
  <c r="E189" i="2"/>
  <c r="T230" i="2"/>
  <c r="L11" i="2"/>
  <c r="J274" i="2"/>
  <c r="I283" i="2" s="1"/>
  <c r="J212" i="2"/>
  <c r="I221" i="2" s="1"/>
  <c r="J148" i="2"/>
  <c r="I157" i="2" s="1"/>
  <c r="J276" i="2"/>
  <c r="I285" i="2" s="1"/>
  <c r="Q125" i="2"/>
  <c r="R125" i="2" s="1"/>
  <c r="S125" i="2" s="1"/>
  <c r="J75" i="2"/>
  <c r="J59" i="2"/>
  <c r="I66" i="2" s="1"/>
  <c r="N294" i="2"/>
  <c r="P294" i="2" s="1"/>
  <c r="N233" i="2"/>
  <c r="O233" i="2" s="1"/>
  <c r="J242" i="2"/>
  <c r="I251" i="2" s="1"/>
  <c r="K292" i="2"/>
  <c r="L276" i="2"/>
  <c r="L274" i="2"/>
  <c r="L242" i="2"/>
  <c r="N248" i="2" s="1"/>
  <c r="N246" i="2" s="1"/>
  <c r="O246" i="2" s="1"/>
  <c r="N198" i="2"/>
  <c r="P198" i="2" s="1"/>
  <c r="K198" i="2"/>
  <c r="L178" i="2"/>
  <c r="E157" i="2"/>
  <c r="K260" i="2"/>
  <c r="L210" i="2"/>
  <c r="N210" i="2" s="1"/>
  <c r="L212" i="2"/>
  <c r="L180" i="2"/>
  <c r="J180" i="2"/>
  <c r="N113" i="2"/>
  <c r="P113" i="2" s="1"/>
  <c r="K133" i="2"/>
  <c r="K123" i="2"/>
  <c r="N125" i="2"/>
  <c r="P125" i="2" s="1"/>
  <c r="N115" i="2"/>
  <c r="P115" i="2" s="1"/>
  <c r="K105" i="2"/>
  <c r="K103" i="2"/>
  <c r="N135" i="2"/>
  <c r="P135" i="2" s="1"/>
  <c r="K93" i="2"/>
  <c r="N93" i="2"/>
  <c r="P93" i="2" s="1"/>
  <c r="C4" i="1"/>
  <c r="C19" i="1"/>
  <c r="N85" i="13" s="1"/>
  <c r="C14" i="1"/>
  <c r="N43" i="2"/>
  <c r="Q115" i="2"/>
  <c r="R115" i="2" s="1"/>
  <c r="S115" i="2" s="1"/>
  <c r="B9" i="1"/>
  <c r="N35" i="13" s="1"/>
  <c r="J29" i="2"/>
  <c r="L45" i="2"/>
  <c r="L13" i="2"/>
  <c r="J45" i="2"/>
  <c r="J61" i="2"/>
  <c r="L29" i="2"/>
  <c r="J43" i="2"/>
  <c r="L59" i="2"/>
  <c r="H68" i="2"/>
  <c r="H34" i="2"/>
  <c r="H38" i="2" s="1"/>
  <c r="J13" i="2"/>
  <c r="H18" i="2"/>
  <c r="H22" i="2" s="1"/>
  <c r="H36" i="2"/>
  <c r="J27" i="2"/>
  <c r="L61" i="2"/>
  <c r="L27" i="2"/>
  <c r="H82" i="2"/>
  <c r="H86" i="2" s="1"/>
  <c r="G35" i="7" s="1"/>
  <c r="H84" i="2"/>
  <c r="D14" i="1" l="1"/>
  <c r="N61" i="13"/>
  <c r="D4" i="1"/>
  <c r="N15" i="13" s="1"/>
  <c r="N13" i="13"/>
  <c r="F85" i="1"/>
  <c r="N369" i="13"/>
  <c r="N386" i="13"/>
  <c r="AV363" i="13"/>
  <c r="AU380" i="13"/>
  <c r="F81" i="1"/>
  <c r="N317" i="13"/>
  <c r="N334" i="13"/>
  <c r="Z315" i="13"/>
  <c r="AV311" i="13"/>
  <c r="AU328" i="13"/>
  <c r="F99" i="1"/>
  <c r="M299" i="13"/>
  <c r="W297" i="13"/>
  <c r="O118" i="13"/>
  <c r="P118" i="13" s="1"/>
  <c r="P107" i="13"/>
  <c r="U107" i="13" s="1"/>
  <c r="T111" i="13"/>
  <c r="R118" i="13"/>
  <c r="T107" i="13"/>
  <c r="U115" i="13"/>
  <c r="N336" i="12"/>
  <c r="O336" i="12" s="1"/>
  <c r="Q63" i="13"/>
  <c r="R63" i="13" s="1"/>
  <c r="S63" i="13" s="1"/>
  <c r="O63" i="13"/>
  <c r="I74" i="13"/>
  <c r="Q163" i="12"/>
  <c r="R163" i="12" s="1"/>
  <c r="S163" i="12" s="1"/>
  <c r="W419" i="13"/>
  <c r="X419" i="13" s="1"/>
  <c r="O365" i="13"/>
  <c r="Q365" i="13"/>
  <c r="R208" i="13"/>
  <c r="S208" i="13" s="1"/>
  <c r="R225" i="13" s="1"/>
  <c r="Q85" i="13"/>
  <c r="R85" i="13" s="1"/>
  <c r="S85" i="13" s="1"/>
  <c r="I96" i="13"/>
  <c r="O85" i="13"/>
  <c r="N335" i="12"/>
  <c r="O335" i="12" s="1"/>
  <c r="N186" i="12"/>
  <c r="N183" i="12" s="1"/>
  <c r="O183" i="12" s="1"/>
  <c r="Q161" i="12"/>
  <c r="R161" i="12" s="1"/>
  <c r="S161" i="12" s="1"/>
  <c r="Q39" i="13"/>
  <c r="R39" i="13" s="1"/>
  <c r="S39" i="13" s="1"/>
  <c r="O39" i="13"/>
  <c r="R59" i="13"/>
  <c r="S59" i="13" s="1"/>
  <c r="I70" i="13"/>
  <c r="O59" i="13"/>
  <c r="Q263" i="13"/>
  <c r="R263" i="13" s="1"/>
  <c r="S263" i="13" s="1"/>
  <c r="R280" i="13" s="1"/>
  <c r="O263" i="13"/>
  <c r="O122" i="13"/>
  <c r="P122" i="13" s="1"/>
  <c r="P111" i="13"/>
  <c r="U111" i="13" s="1"/>
  <c r="S122" i="13" s="1"/>
  <c r="N334" i="12"/>
  <c r="O334" i="12" s="1"/>
  <c r="Q113" i="12"/>
  <c r="R113" i="12" s="1"/>
  <c r="S113" i="12" s="1"/>
  <c r="U133" i="13" s="1"/>
  <c r="Q139" i="12"/>
  <c r="R139" i="12" s="1"/>
  <c r="S139" i="12" s="1"/>
  <c r="N302" i="12"/>
  <c r="R122" i="13"/>
  <c r="Q367" i="13"/>
  <c r="O367" i="13"/>
  <c r="I98" i="13"/>
  <c r="O87" i="13"/>
  <c r="Q87" i="13"/>
  <c r="R87" i="13" s="1"/>
  <c r="S87" i="13" s="1"/>
  <c r="N293" i="12"/>
  <c r="O293" i="12" s="1"/>
  <c r="I120" i="13"/>
  <c r="O109" i="13"/>
  <c r="Q109" i="13"/>
  <c r="R109" i="13" s="1"/>
  <c r="S109" i="13" s="1"/>
  <c r="O35" i="13"/>
  <c r="O46" i="13" s="1"/>
  <c r="Q35" i="13"/>
  <c r="R35" i="13" s="1"/>
  <c r="S35" i="13" s="1"/>
  <c r="Q165" i="12"/>
  <c r="R165" i="12" s="1"/>
  <c r="S165" i="12" s="1"/>
  <c r="U348" i="12"/>
  <c r="R210" i="13"/>
  <c r="S210" i="13" s="1"/>
  <c r="R227" i="13" s="1"/>
  <c r="Q37" i="13"/>
  <c r="R37" i="13" s="1"/>
  <c r="S37" i="13" s="1"/>
  <c r="O37" i="13"/>
  <c r="Q61" i="13"/>
  <c r="R61" i="13" s="1"/>
  <c r="S61" i="13" s="1"/>
  <c r="O61" i="13"/>
  <c r="I72" i="13"/>
  <c r="O261" i="13"/>
  <c r="Q83" i="13"/>
  <c r="R83" i="13" s="1"/>
  <c r="S83" i="13" s="1"/>
  <c r="O83" i="13"/>
  <c r="L260" i="12"/>
  <c r="N260" i="12" s="1"/>
  <c r="I279" i="12"/>
  <c r="L262" i="12"/>
  <c r="I280" i="12"/>
  <c r="J180" i="12"/>
  <c r="I193" i="12" s="1"/>
  <c r="I197" i="12"/>
  <c r="L220" i="12"/>
  <c r="I238" i="12"/>
  <c r="J264" i="12"/>
  <c r="I277" i="12" s="1"/>
  <c r="I281" i="12"/>
  <c r="O302" i="12"/>
  <c r="O315" i="12" s="1"/>
  <c r="P315" i="12" s="1"/>
  <c r="J218" i="12"/>
  <c r="I231" i="12" s="1"/>
  <c r="I237" i="12"/>
  <c r="L222" i="12"/>
  <c r="I239" i="12"/>
  <c r="O35" i="7"/>
  <c r="O29" i="7"/>
  <c r="Q73" i="12"/>
  <c r="R73" i="12" s="1"/>
  <c r="S73" i="12" s="1"/>
  <c r="I82" i="12"/>
  <c r="N206" i="12"/>
  <c r="P206" i="12" s="1"/>
  <c r="K248" i="12"/>
  <c r="L218" i="12"/>
  <c r="K246" i="12"/>
  <c r="J222" i="12"/>
  <c r="I235" i="12" s="1"/>
  <c r="K244" i="12"/>
  <c r="H253" i="12"/>
  <c r="E231" i="12" s="1"/>
  <c r="J220" i="12"/>
  <c r="I233" i="12" s="1"/>
  <c r="G115" i="12"/>
  <c r="K115" i="12" s="1"/>
  <c r="Q95" i="12"/>
  <c r="R95" i="12" s="1"/>
  <c r="S95" i="12" s="1"/>
  <c r="N113" i="12"/>
  <c r="P113" i="12" s="1"/>
  <c r="K137" i="12"/>
  <c r="K141" i="12"/>
  <c r="N139" i="12"/>
  <c r="P139" i="12" s="1"/>
  <c r="O95" i="12"/>
  <c r="Q91" i="12"/>
  <c r="R91" i="12" s="1"/>
  <c r="S91" i="12" s="1"/>
  <c r="I100" i="12"/>
  <c r="O91" i="12"/>
  <c r="O100" i="12" s="1"/>
  <c r="P100" i="12" s="1"/>
  <c r="Q71" i="12"/>
  <c r="R71" i="12" s="1"/>
  <c r="S71" i="12" s="1"/>
  <c r="I84" i="12"/>
  <c r="O75" i="12"/>
  <c r="Q75" i="12"/>
  <c r="R75" i="12" s="1"/>
  <c r="S75" i="12" s="1"/>
  <c r="O71" i="12"/>
  <c r="N71" i="12"/>
  <c r="E60" i="12"/>
  <c r="E62" i="12" s="1"/>
  <c r="E64" i="12" s="1"/>
  <c r="O23" i="7"/>
  <c r="L53" i="12"/>
  <c r="J53" i="12"/>
  <c r="L55" i="12"/>
  <c r="J55" i="12"/>
  <c r="L51" i="12"/>
  <c r="J51" i="12"/>
  <c r="K117" i="12"/>
  <c r="G24" i="12"/>
  <c r="G22" i="12"/>
  <c r="G20" i="12"/>
  <c r="H26" i="12" s="1"/>
  <c r="G15" i="12"/>
  <c r="G13" i="12"/>
  <c r="O17" i="7"/>
  <c r="E40" i="12"/>
  <c r="E42" i="12" s="1"/>
  <c r="E44" i="12" s="1"/>
  <c r="J33" i="12"/>
  <c r="L33" i="12"/>
  <c r="L35" i="12"/>
  <c r="J35" i="12"/>
  <c r="I44" i="12" s="1"/>
  <c r="L31" i="12"/>
  <c r="J31" i="12"/>
  <c r="I40" i="12" s="1"/>
  <c r="L180" i="12"/>
  <c r="V348" i="12"/>
  <c r="N378" i="12"/>
  <c r="O378" i="12" s="1"/>
  <c r="Q374" i="12"/>
  <c r="R374" i="12" s="1"/>
  <c r="S374" i="12" s="1"/>
  <c r="N376" i="12"/>
  <c r="O376" i="12" s="1"/>
  <c r="Q370" i="12"/>
  <c r="R370" i="12" s="1"/>
  <c r="S370" i="12" s="1"/>
  <c r="U350" i="12"/>
  <c r="T344" i="12"/>
  <c r="R357" i="12"/>
  <c r="N377" i="12"/>
  <c r="O377" i="12" s="1"/>
  <c r="Q372" i="12"/>
  <c r="R372" i="12" s="1"/>
  <c r="S372" i="12" s="1"/>
  <c r="N350" i="12"/>
  <c r="O350" i="12" s="1"/>
  <c r="O357" i="12"/>
  <c r="P357" i="12" s="1"/>
  <c r="P344" i="12"/>
  <c r="E361" i="12"/>
  <c r="J262" i="12"/>
  <c r="I275" i="12" s="1"/>
  <c r="Q328" i="12"/>
  <c r="R328" i="12" s="1"/>
  <c r="S328" i="12" s="1"/>
  <c r="Q332" i="12"/>
  <c r="R332" i="12" s="1"/>
  <c r="S332" i="12" s="1"/>
  <c r="Q330" i="12"/>
  <c r="R330" i="12" s="1"/>
  <c r="S330" i="12" s="1"/>
  <c r="O304" i="12"/>
  <c r="O317" i="12" s="1"/>
  <c r="P317" i="12" s="1"/>
  <c r="J260" i="12"/>
  <c r="E319" i="12"/>
  <c r="O306" i="12"/>
  <c r="O319" i="12" s="1"/>
  <c r="P319" i="12" s="1"/>
  <c r="I319" i="12"/>
  <c r="Q302" i="12"/>
  <c r="R302" i="12" s="1"/>
  <c r="S302" i="12" s="1"/>
  <c r="I315" i="12"/>
  <c r="L264" i="12"/>
  <c r="N312" i="12"/>
  <c r="N309" i="12" s="1"/>
  <c r="O309" i="12" s="1"/>
  <c r="N304" i="12"/>
  <c r="Q304" i="12"/>
  <c r="R304" i="12" s="1"/>
  <c r="S304" i="12" s="1"/>
  <c r="N313" i="12"/>
  <c r="N310" i="12" s="1"/>
  <c r="O310" i="12" s="1"/>
  <c r="N306" i="12"/>
  <c r="Q306" i="12"/>
  <c r="R306" i="12" s="1"/>
  <c r="S306" i="12" s="1"/>
  <c r="N294" i="12"/>
  <c r="O294" i="12" s="1"/>
  <c r="Q290" i="12"/>
  <c r="R290" i="12" s="1"/>
  <c r="S290" i="12" s="1"/>
  <c r="Q288" i="12"/>
  <c r="R288" i="12" s="1"/>
  <c r="S288" i="12" s="1"/>
  <c r="N292" i="12"/>
  <c r="O292" i="12" s="1"/>
  <c r="Q286" i="12"/>
  <c r="R286" i="12" s="1"/>
  <c r="S286" i="12" s="1"/>
  <c r="N288" i="12"/>
  <c r="P288" i="12" s="1"/>
  <c r="N286" i="12"/>
  <c r="P286" i="12" s="1"/>
  <c r="H295" i="12"/>
  <c r="E273" i="12" s="1"/>
  <c r="E275" i="12" s="1"/>
  <c r="N290" i="12"/>
  <c r="P290" i="12" s="1"/>
  <c r="Q149" i="12"/>
  <c r="R149" i="12" s="1"/>
  <c r="S149" i="12" s="1"/>
  <c r="U175" i="13" s="1"/>
  <c r="Q151" i="12"/>
  <c r="R151" i="12" s="1"/>
  <c r="S151" i="12" s="1"/>
  <c r="Q153" i="12"/>
  <c r="R153" i="12" s="1"/>
  <c r="S153" i="12" s="1"/>
  <c r="U179" i="13" s="1"/>
  <c r="Q125" i="12"/>
  <c r="R125" i="12" s="1"/>
  <c r="S125" i="12" s="1"/>
  <c r="Q127" i="12"/>
  <c r="Q129" i="12"/>
  <c r="R129" i="12" s="1"/>
  <c r="S129" i="12" s="1"/>
  <c r="U151" i="13" s="1"/>
  <c r="M102" i="12"/>
  <c r="O93" i="12"/>
  <c r="O102" i="12" s="1"/>
  <c r="P102" i="12" s="1"/>
  <c r="Q93" i="12"/>
  <c r="R93" i="12" s="1"/>
  <c r="S93" i="12" s="1"/>
  <c r="D19" i="1"/>
  <c r="N87" i="13" s="1"/>
  <c r="N73" i="12"/>
  <c r="N185" i="12"/>
  <c r="Q176" i="12"/>
  <c r="R176" i="12" s="1"/>
  <c r="S176" i="12" s="1"/>
  <c r="N208" i="12"/>
  <c r="O208" i="12" s="1"/>
  <c r="Q202" i="12"/>
  <c r="R202" i="12" s="1"/>
  <c r="S202" i="12" s="1"/>
  <c r="Q204" i="12"/>
  <c r="R204" i="12" s="1"/>
  <c r="S204" i="12" s="1"/>
  <c r="N209" i="12"/>
  <c r="O209" i="12" s="1"/>
  <c r="N210" i="12"/>
  <c r="O210" i="12" s="1"/>
  <c r="Q206" i="12"/>
  <c r="R206" i="12" s="1"/>
  <c r="S206" i="12" s="1"/>
  <c r="E189" i="12"/>
  <c r="O176" i="12"/>
  <c r="M196" i="2"/>
  <c r="Q196" i="2"/>
  <c r="R196" i="2" s="1"/>
  <c r="S196" i="2" s="1"/>
  <c r="U262" i="2"/>
  <c r="V262" i="2" s="1"/>
  <c r="Z265" i="2" s="1"/>
  <c r="AA265" i="2" s="1"/>
  <c r="Q228" i="2"/>
  <c r="R228" i="2" s="1"/>
  <c r="S228" i="2" s="1"/>
  <c r="N232" i="2"/>
  <c r="O232" i="2" s="1"/>
  <c r="T135" i="2"/>
  <c r="U135" i="2" s="1"/>
  <c r="V135" i="2" s="1"/>
  <c r="AC135" i="2" s="1"/>
  <c r="AD135" i="2" s="1"/>
  <c r="AE135" i="2" s="1"/>
  <c r="E66" i="2"/>
  <c r="T294" i="2"/>
  <c r="U294" i="2" s="1"/>
  <c r="U230" i="2"/>
  <c r="V230" i="2" s="1"/>
  <c r="Z233" i="2" s="1"/>
  <c r="AA233" i="2" s="1"/>
  <c r="N281" i="2"/>
  <c r="N279" i="2" s="1"/>
  <c r="O279" i="2" s="1"/>
  <c r="Q276" i="2"/>
  <c r="R276" i="2" s="1"/>
  <c r="S276" i="2" s="1"/>
  <c r="Q292" i="2"/>
  <c r="R292" i="2" s="1"/>
  <c r="S292" i="2" s="1"/>
  <c r="N296" i="2"/>
  <c r="O296" i="2" s="1"/>
  <c r="Q178" i="2"/>
  <c r="R178" i="2" s="1"/>
  <c r="Q242" i="2"/>
  <c r="R242" i="2" s="1"/>
  <c r="O276" i="2"/>
  <c r="O285" i="2" s="1"/>
  <c r="P285" i="2" s="1"/>
  <c r="O244" i="2"/>
  <c r="O253" i="2" s="1"/>
  <c r="P253" i="2" s="1"/>
  <c r="Q244" i="2"/>
  <c r="R244" i="2" s="1"/>
  <c r="S244" i="2" s="1"/>
  <c r="Q274" i="2"/>
  <c r="R274" i="2" s="1"/>
  <c r="O274" i="2"/>
  <c r="O178" i="2"/>
  <c r="N184" i="2"/>
  <c r="N182" i="2" s="1"/>
  <c r="O182" i="2" s="1"/>
  <c r="N216" i="2"/>
  <c r="N214" i="2" s="1"/>
  <c r="O214" i="2" s="1"/>
  <c r="N280" i="2"/>
  <c r="N278" i="2" s="1"/>
  <c r="O278" i="2" s="1"/>
  <c r="N244" i="2"/>
  <c r="N249" i="2"/>
  <c r="N247" i="2" s="1"/>
  <c r="O247" i="2" s="1"/>
  <c r="N242" i="2"/>
  <c r="Q103" i="2"/>
  <c r="R103" i="2" s="1"/>
  <c r="S103" i="2" s="1"/>
  <c r="Q123" i="2"/>
  <c r="R123" i="2" s="1"/>
  <c r="S123" i="2" s="1"/>
  <c r="N264" i="2"/>
  <c r="O264" i="2" s="1"/>
  <c r="O346" i="12"/>
  <c r="Q93" i="2"/>
  <c r="R93" i="2" s="1"/>
  <c r="S93" i="2" s="1"/>
  <c r="Q210" i="2"/>
  <c r="R210" i="2" s="1"/>
  <c r="O210" i="2"/>
  <c r="O242" i="2"/>
  <c r="Q105" i="2"/>
  <c r="R105" i="2" s="1"/>
  <c r="S105" i="2" s="1"/>
  <c r="Q133" i="2"/>
  <c r="R133" i="2" s="1"/>
  <c r="S133" i="2" s="1"/>
  <c r="O212" i="2"/>
  <c r="P212" i="2" s="1"/>
  <c r="T125" i="2"/>
  <c r="U125" i="2" s="1"/>
  <c r="O178" i="12"/>
  <c r="Q178" i="12"/>
  <c r="R178" i="12" s="1"/>
  <c r="S178" i="12" s="1"/>
  <c r="O82" i="12"/>
  <c r="P82" i="12" s="1"/>
  <c r="Q260" i="2"/>
  <c r="R260" i="2" s="1"/>
  <c r="S260" i="2" s="1"/>
  <c r="M198" i="2"/>
  <c r="Q198" i="2"/>
  <c r="R198" i="2" s="1"/>
  <c r="S198" i="2" s="1"/>
  <c r="N201" i="2"/>
  <c r="O201" i="2" s="1"/>
  <c r="N217" i="2"/>
  <c r="N215" i="2" s="1"/>
  <c r="O215" i="2" s="1"/>
  <c r="N212" i="2"/>
  <c r="Q212" i="2"/>
  <c r="R212" i="2" s="1"/>
  <c r="S212" i="2" s="1"/>
  <c r="I189" i="2"/>
  <c r="O180" i="2"/>
  <c r="Q180" i="2"/>
  <c r="R180" i="2" s="1"/>
  <c r="S180" i="2" s="1"/>
  <c r="N185" i="2"/>
  <c r="N183" i="2" s="1"/>
  <c r="O183" i="2" s="1"/>
  <c r="G11" i="7"/>
  <c r="E18" i="2"/>
  <c r="O75" i="2"/>
  <c r="Q75" i="2"/>
  <c r="R75" i="2" s="1"/>
  <c r="S75" i="2" s="1"/>
  <c r="T113" i="2"/>
  <c r="U113" i="2" s="1"/>
  <c r="V113" i="2" s="1"/>
  <c r="AC113" i="2" s="1"/>
  <c r="AD113" i="2" s="1"/>
  <c r="AE113" i="2" s="1"/>
  <c r="T115" i="2"/>
  <c r="U115" i="2" s="1"/>
  <c r="V115" i="2" s="1"/>
  <c r="X115" i="2" s="1"/>
  <c r="AB115" i="2" s="1"/>
  <c r="N13" i="2"/>
  <c r="N61" i="2"/>
  <c r="N45" i="2"/>
  <c r="C9" i="1"/>
  <c r="N37" i="13" s="1"/>
  <c r="N27" i="2"/>
  <c r="I18" i="2"/>
  <c r="O59" i="2"/>
  <c r="N59" i="2"/>
  <c r="I82" i="2"/>
  <c r="I68" i="2"/>
  <c r="O61" i="2"/>
  <c r="I52" i="2"/>
  <c r="O45" i="2"/>
  <c r="I36" i="2"/>
  <c r="O29" i="2"/>
  <c r="I84" i="2"/>
  <c r="O77" i="2"/>
  <c r="I34" i="2"/>
  <c r="O27" i="2"/>
  <c r="I50" i="2"/>
  <c r="O43" i="2"/>
  <c r="I20" i="2"/>
  <c r="O13" i="2"/>
  <c r="E82" i="2"/>
  <c r="G17" i="7"/>
  <c r="E34" i="2"/>
  <c r="Q27" i="2"/>
  <c r="R27" i="2" s="1"/>
  <c r="Q29" i="2"/>
  <c r="R29" i="2" s="1"/>
  <c r="Q45" i="2"/>
  <c r="R45" i="2" s="1"/>
  <c r="Q77" i="2"/>
  <c r="R77" i="2" s="1"/>
  <c r="Q43" i="2"/>
  <c r="R43" i="2" s="1"/>
  <c r="Q61" i="2"/>
  <c r="R61" i="2" s="1"/>
  <c r="Q59" i="2"/>
  <c r="R59" i="2" s="1"/>
  <c r="Q13" i="2"/>
  <c r="R13" i="2" s="1"/>
  <c r="A94" i="1"/>
  <c r="B94" i="1" s="1"/>
  <c r="E166" i="2"/>
  <c r="J166" i="2"/>
  <c r="J164" i="2"/>
  <c r="AK160" i="2"/>
  <c r="AK159" i="2"/>
  <c r="Z160" i="2"/>
  <c r="Z159" i="2"/>
  <c r="N160" i="2"/>
  <c r="N159" i="2"/>
  <c r="O146" i="2"/>
  <c r="A73" i="1"/>
  <c r="B73" i="1" s="1"/>
  <c r="B114" i="1"/>
  <c r="B109" i="1"/>
  <c r="B104" i="1"/>
  <c r="B89" i="1"/>
  <c r="B77" i="1"/>
  <c r="E14" i="1" l="1"/>
  <c r="N63" i="13"/>
  <c r="T113" i="12"/>
  <c r="U113" i="12" s="1"/>
  <c r="N415" i="13"/>
  <c r="N432" i="13"/>
  <c r="C114" i="1"/>
  <c r="M449" i="13"/>
  <c r="M370" i="12"/>
  <c r="C109" i="1"/>
  <c r="M397" i="13"/>
  <c r="G85" i="1"/>
  <c r="Z369" i="13"/>
  <c r="W386" i="13"/>
  <c r="BG363" i="13"/>
  <c r="BF380" i="13"/>
  <c r="C104" i="1"/>
  <c r="M345" i="13"/>
  <c r="G81" i="1"/>
  <c r="Z317" i="13"/>
  <c r="W334" i="13"/>
  <c r="BG311" i="13"/>
  <c r="BF328" i="13"/>
  <c r="W348" i="12"/>
  <c r="X348" i="12" s="1"/>
  <c r="S361" i="12"/>
  <c r="C77" i="1"/>
  <c r="N259" i="13"/>
  <c r="N276" i="13"/>
  <c r="G99" i="1"/>
  <c r="H99" i="1" s="1"/>
  <c r="I99" i="1" s="1"/>
  <c r="J99" i="1" s="1"/>
  <c r="K99" i="1" s="1"/>
  <c r="L99" i="1" s="1"/>
  <c r="M99" i="1" s="1"/>
  <c r="W299" i="13"/>
  <c r="C73" i="1"/>
  <c r="N206" i="13"/>
  <c r="N223" i="13"/>
  <c r="M202" i="12"/>
  <c r="M240" i="13"/>
  <c r="Y419" i="13"/>
  <c r="Z430" i="13" s="1"/>
  <c r="AA430" i="13" s="1"/>
  <c r="O382" i="13"/>
  <c r="P382" i="13" s="1"/>
  <c r="P365" i="13"/>
  <c r="P367" i="13"/>
  <c r="O384" i="13"/>
  <c r="P384" i="13" s="1"/>
  <c r="R367" i="13"/>
  <c r="S367" i="13" s="1"/>
  <c r="R365" i="13"/>
  <c r="S365" i="13" s="1"/>
  <c r="P263" i="13"/>
  <c r="U263" i="13" s="1"/>
  <c r="W263" i="13" s="1"/>
  <c r="O280" i="13"/>
  <c r="P280" i="13" s="1"/>
  <c r="P261" i="13"/>
  <c r="U261" i="13" s="1"/>
  <c r="O278" i="13"/>
  <c r="P278" i="13" s="1"/>
  <c r="N269" i="12"/>
  <c r="N266" i="12" s="1"/>
  <c r="O266" i="12" s="1"/>
  <c r="O260" i="12"/>
  <c r="O273" i="12" s="1"/>
  <c r="P273" i="12" s="1"/>
  <c r="T263" i="13"/>
  <c r="U208" i="13"/>
  <c r="T208" i="13"/>
  <c r="V208" i="13" s="1"/>
  <c r="U210" i="13"/>
  <c r="T210" i="13"/>
  <c r="T109" i="13"/>
  <c r="V109" i="13" s="1"/>
  <c r="S118" i="13"/>
  <c r="J118" i="13"/>
  <c r="K118" i="13" s="1"/>
  <c r="AA113" i="13"/>
  <c r="AC113" i="13"/>
  <c r="AD113" i="13" s="1"/>
  <c r="AE113" i="13" s="1"/>
  <c r="T87" i="13"/>
  <c r="V87" i="13" s="1"/>
  <c r="P83" i="13"/>
  <c r="U83" i="13" s="1"/>
  <c r="S94" i="13" s="1"/>
  <c r="O94" i="13"/>
  <c r="P94" i="13" s="1"/>
  <c r="R94" i="13"/>
  <c r="T83" i="13"/>
  <c r="U91" i="13"/>
  <c r="T85" i="13"/>
  <c r="R70" i="13"/>
  <c r="T59" i="13"/>
  <c r="U67" i="13"/>
  <c r="T63" i="13"/>
  <c r="T61" i="13"/>
  <c r="T37" i="13"/>
  <c r="T35" i="13"/>
  <c r="U43" i="13"/>
  <c r="T39" i="13"/>
  <c r="N152" i="2"/>
  <c r="N150" i="2" s="1"/>
  <c r="O150" i="2" s="1"/>
  <c r="J361" i="12"/>
  <c r="K361" i="12" s="1"/>
  <c r="V206" i="13"/>
  <c r="X206" i="13" s="1"/>
  <c r="V175" i="13"/>
  <c r="X175" i="13" s="1"/>
  <c r="AB175" i="13" s="1"/>
  <c r="T330" i="12"/>
  <c r="U330" i="12" s="1"/>
  <c r="V330" i="12" s="1"/>
  <c r="X330" i="12" s="1"/>
  <c r="O180" i="12"/>
  <c r="O193" i="12" s="1"/>
  <c r="P193" i="12" s="1"/>
  <c r="M246" i="12"/>
  <c r="P46" i="13"/>
  <c r="P35" i="13"/>
  <c r="U35" i="13" s="1"/>
  <c r="O70" i="13"/>
  <c r="P70" i="13" s="1"/>
  <c r="P59" i="13"/>
  <c r="U59" i="13" s="1"/>
  <c r="R74" i="13"/>
  <c r="T202" i="12"/>
  <c r="U202" i="12" s="1"/>
  <c r="V202" i="12" s="1"/>
  <c r="Z208" i="12" s="1"/>
  <c r="AA208" i="12" s="1"/>
  <c r="T125" i="12"/>
  <c r="U125" i="12" s="1"/>
  <c r="R317" i="12"/>
  <c r="U344" i="12"/>
  <c r="S357" i="12" s="1"/>
  <c r="T370" i="12"/>
  <c r="U370" i="12" s="1"/>
  <c r="Q13" i="13"/>
  <c r="R13" i="13" s="1"/>
  <c r="S13" i="13" s="1"/>
  <c r="O13" i="13"/>
  <c r="N53" i="12"/>
  <c r="N227" i="12"/>
  <c r="N224" i="12" s="1"/>
  <c r="O224" i="12" s="1"/>
  <c r="N229" i="12"/>
  <c r="N226" i="12" s="1"/>
  <c r="O226" i="12" s="1"/>
  <c r="T139" i="12"/>
  <c r="U139" i="12" s="1"/>
  <c r="R50" i="13"/>
  <c r="R96" i="13"/>
  <c r="T163" i="12"/>
  <c r="U163" i="12" s="1"/>
  <c r="V163" i="12" s="1"/>
  <c r="AC163" i="12" s="1"/>
  <c r="AD163" i="12" s="1"/>
  <c r="AE163" i="12" s="1"/>
  <c r="U191" i="13"/>
  <c r="V179" i="13"/>
  <c r="X179" i="13" s="1"/>
  <c r="AB179" i="13" s="1"/>
  <c r="R319" i="12"/>
  <c r="T302" i="12"/>
  <c r="V302" i="12" s="1"/>
  <c r="T328" i="12"/>
  <c r="U328" i="12" s="1"/>
  <c r="V328" i="12" s="1"/>
  <c r="W328" i="12" s="1"/>
  <c r="Q15" i="13"/>
  <c r="R15" i="13" s="1"/>
  <c r="S15" i="13" s="1"/>
  <c r="O15" i="13"/>
  <c r="R104" i="12"/>
  <c r="M244" i="12"/>
  <c r="N252" i="12"/>
  <c r="O252" i="12" s="1"/>
  <c r="R120" i="13"/>
  <c r="R98" i="13"/>
  <c r="T161" i="12"/>
  <c r="U161" i="12" s="1"/>
  <c r="V161" i="12" s="1"/>
  <c r="T204" i="12"/>
  <c r="R102" i="12"/>
  <c r="T290" i="12"/>
  <c r="U290" i="12" s="1"/>
  <c r="N264" i="12"/>
  <c r="T372" i="12"/>
  <c r="U372" i="12" s="1"/>
  <c r="O11" i="13"/>
  <c r="Q11" i="13"/>
  <c r="R11" i="13" s="1"/>
  <c r="S11" i="13" s="1"/>
  <c r="U19" i="13" s="1"/>
  <c r="Q137" i="12"/>
  <c r="R137" i="12" s="1"/>
  <c r="S137" i="12" s="1"/>
  <c r="N228" i="12"/>
  <c r="N225" i="12" s="1"/>
  <c r="O225" i="12" s="1"/>
  <c r="N270" i="12"/>
  <c r="N267" i="12" s="1"/>
  <c r="O267" i="12" s="1"/>
  <c r="R72" i="13"/>
  <c r="P39" i="13"/>
  <c r="U39" i="13" s="1"/>
  <c r="S50" i="13" s="1"/>
  <c r="O50" i="13"/>
  <c r="P50" i="13" s="1"/>
  <c r="T206" i="12"/>
  <c r="U206" i="12" s="1"/>
  <c r="V206" i="12" s="1"/>
  <c r="T286" i="12"/>
  <c r="U286" i="12" s="1"/>
  <c r="T332" i="12"/>
  <c r="U332" i="12" s="1"/>
  <c r="V332" i="12" s="1"/>
  <c r="X332" i="12" s="1"/>
  <c r="AB332" i="12" s="1"/>
  <c r="T374" i="12"/>
  <c r="U374" i="12" s="1"/>
  <c r="T73" i="12"/>
  <c r="P37" i="13"/>
  <c r="U37" i="13" s="1"/>
  <c r="S48" i="13" s="1"/>
  <c r="O48" i="13"/>
  <c r="P48" i="13" s="1"/>
  <c r="V151" i="13"/>
  <c r="T151" i="12"/>
  <c r="U151" i="12" s="1"/>
  <c r="V151" i="12" s="1"/>
  <c r="U177" i="13"/>
  <c r="T288" i="12"/>
  <c r="U288" i="12" s="1"/>
  <c r="Q117" i="12"/>
  <c r="R117" i="12" s="1"/>
  <c r="S117" i="12" s="1"/>
  <c r="N55" i="12"/>
  <c r="Q141" i="12"/>
  <c r="R141" i="12" s="1"/>
  <c r="S141" i="12" s="1"/>
  <c r="Q115" i="12"/>
  <c r="R115" i="12" s="1"/>
  <c r="S115" i="12" s="1"/>
  <c r="O72" i="13"/>
  <c r="P72" i="13" s="1"/>
  <c r="P61" i="13"/>
  <c r="U61" i="13" s="1"/>
  <c r="S72" i="13" s="1"/>
  <c r="R48" i="13"/>
  <c r="T165" i="12"/>
  <c r="U165" i="12" s="1"/>
  <c r="V165" i="12" s="1"/>
  <c r="AC165" i="12" s="1"/>
  <c r="AD165" i="12" s="1"/>
  <c r="AE165" i="12" s="1"/>
  <c r="U193" i="13"/>
  <c r="R46" i="13"/>
  <c r="P109" i="13"/>
  <c r="U109" i="13" s="1"/>
  <c r="S120" i="13" s="1"/>
  <c r="O120" i="13"/>
  <c r="P120" i="13" s="1"/>
  <c r="P87" i="13"/>
  <c r="U87" i="13" s="1"/>
  <c r="S98" i="13" s="1"/>
  <c r="O98" i="13"/>
  <c r="P98" i="13" s="1"/>
  <c r="V133" i="13"/>
  <c r="O96" i="13"/>
  <c r="P96" i="13" s="1"/>
  <c r="P85" i="13"/>
  <c r="U85" i="13" s="1"/>
  <c r="S96" i="13" s="1"/>
  <c r="O74" i="13"/>
  <c r="P74" i="13" s="1"/>
  <c r="P63" i="13"/>
  <c r="U63" i="13" s="1"/>
  <c r="S74" i="13" s="1"/>
  <c r="P302" i="12"/>
  <c r="U73" i="12"/>
  <c r="S82" i="12" s="1"/>
  <c r="N262" i="12"/>
  <c r="N220" i="12"/>
  <c r="R82" i="12"/>
  <c r="Q246" i="12"/>
  <c r="R246" i="12" s="1"/>
  <c r="S246" i="12" s="1"/>
  <c r="N251" i="12"/>
  <c r="O251" i="12" s="1"/>
  <c r="Q248" i="12"/>
  <c r="R248" i="12" s="1"/>
  <c r="S248" i="12" s="1"/>
  <c r="M248" i="12"/>
  <c r="O222" i="12"/>
  <c r="P222" i="12" s="1"/>
  <c r="Q218" i="12"/>
  <c r="R218" i="12" s="1"/>
  <c r="S218" i="12" s="1"/>
  <c r="O218" i="12"/>
  <c r="P218" i="12" s="1"/>
  <c r="Q244" i="12"/>
  <c r="R244" i="12" s="1"/>
  <c r="S244" i="12" s="1"/>
  <c r="Q222" i="12"/>
  <c r="R222" i="12" s="1"/>
  <c r="S222" i="12" s="1"/>
  <c r="N250" i="12"/>
  <c r="O250" i="12" s="1"/>
  <c r="O220" i="12"/>
  <c r="O233" i="12" s="1"/>
  <c r="P233" i="12" s="1"/>
  <c r="E233" i="12"/>
  <c r="E235" i="12" s="1"/>
  <c r="Q220" i="12"/>
  <c r="R220" i="12" s="1"/>
  <c r="S220" i="12" s="1"/>
  <c r="N187" i="12"/>
  <c r="N184" i="12" s="1"/>
  <c r="O184" i="12" s="1"/>
  <c r="Q180" i="12"/>
  <c r="R180" i="12" s="1"/>
  <c r="S180" i="12" s="1"/>
  <c r="O35" i="12"/>
  <c r="P35" i="12" s="1"/>
  <c r="Q33" i="12"/>
  <c r="R33" i="12" s="1"/>
  <c r="S33" i="12" s="1"/>
  <c r="T95" i="12"/>
  <c r="V95" i="12" s="1"/>
  <c r="N115" i="12"/>
  <c r="P115" i="12" s="1"/>
  <c r="R100" i="12"/>
  <c r="T91" i="12"/>
  <c r="V91" i="12" s="1"/>
  <c r="U97" i="12"/>
  <c r="O104" i="12"/>
  <c r="P104" i="12" s="1"/>
  <c r="P95" i="12"/>
  <c r="R80" i="12"/>
  <c r="U77" i="12"/>
  <c r="T71" i="12"/>
  <c r="V71" i="12" s="1"/>
  <c r="Q55" i="12"/>
  <c r="R55" i="12" s="1"/>
  <c r="S55" i="12" s="1"/>
  <c r="Q53" i="12"/>
  <c r="R53" i="12" s="1"/>
  <c r="S53" i="12" s="1"/>
  <c r="P71" i="12"/>
  <c r="U71" i="12" s="1"/>
  <c r="S80" i="12" s="1"/>
  <c r="O80" i="12"/>
  <c r="P80" i="12" s="1"/>
  <c r="T75" i="12"/>
  <c r="V75" i="12" s="1"/>
  <c r="R84" i="12"/>
  <c r="P75" i="12"/>
  <c r="U75" i="12" s="1"/>
  <c r="S84" i="12" s="1"/>
  <c r="O84" i="12"/>
  <c r="P84" i="12" s="1"/>
  <c r="I60" i="12"/>
  <c r="O51" i="12"/>
  <c r="I62" i="12"/>
  <c r="O53" i="12"/>
  <c r="Q51" i="12"/>
  <c r="R51" i="12" s="1"/>
  <c r="S51" i="12" s="1"/>
  <c r="N51" i="12"/>
  <c r="I64" i="12"/>
  <c r="O55" i="12"/>
  <c r="E20" i="12"/>
  <c r="E22" i="12" s="1"/>
  <c r="E24" i="12" s="1"/>
  <c r="O11" i="7"/>
  <c r="L11" i="12"/>
  <c r="J11" i="12"/>
  <c r="I20" i="12" s="1"/>
  <c r="L13" i="12"/>
  <c r="J13" i="12"/>
  <c r="I22" i="12" s="1"/>
  <c r="J15" i="12"/>
  <c r="I24" i="12" s="1"/>
  <c r="L15" i="12"/>
  <c r="O44" i="12"/>
  <c r="P44" i="12" s="1"/>
  <c r="O31" i="12"/>
  <c r="I42" i="12"/>
  <c r="O33" i="12"/>
  <c r="Q35" i="12"/>
  <c r="Q31" i="12"/>
  <c r="R31" i="12" s="1"/>
  <c r="S31" i="12" s="1"/>
  <c r="N31" i="12"/>
  <c r="Q262" i="12"/>
  <c r="R262" i="12" s="1"/>
  <c r="S262" i="12" s="1"/>
  <c r="I273" i="12"/>
  <c r="Q264" i="12"/>
  <c r="R264" i="12" s="1"/>
  <c r="S264" i="12" s="1"/>
  <c r="C89" i="1"/>
  <c r="N344" i="12"/>
  <c r="N29" i="2"/>
  <c r="N33" i="12"/>
  <c r="M286" i="12"/>
  <c r="N218" i="12"/>
  <c r="O262" i="12"/>
  <c r="O275" i="12" s="1"/>
  <c r="P275" i="12" s="1"/>
  <c r="O359" i="12"/>
  <c r="P359" i="12" s="1"/>
  <c r="Q260" i="12"/>
  <c r="R260" i="12" s="1"/>
  <c r="S260" i="12" s="1"/>
  <c r="M328" i="12"/>
  <c r="U308" i="12"/>
  <c r="N271" i="12"/>
  <c r="N268" i="12" s="1"/>
  <c r="O268" i="12" s="1"/>
  <c r="O264" i="12"/>
  <c r="O277" i="12" s="1"/>
  <c r="P277" i="12" s="1"/>
  <c r="P306" i="12"/>
  <c r="U306" i="12" s="1"/>
  <c r="S319" i="12" s="1"/>
  <c r="T306" i="12"/>
  <c r="V306" i="12" s="1"/>
  <c r="T304" i="12"/>
  <c r="V304" i="12" s="1"/>
  <c r="E277" i="12"/>
  <c r="N182" i="12"/>
  <c r="O182" i="12" s="1"/>
  <c r="T149" i="12"/>
  <c r="U149" i="12" s="1"/>
  <c r="V149" i="12" s="1"/>
  <c r="T153" i="12"/>
  <c r="U153" i="12" s="1"/>
  <c r="T129" i="12"/>
  <c r="U129" i="12" s="1"/>
  <c r="R127" i="12"/>
  <c r="S127" i="12" s="1"/>
  <c r="P93" i="12"/>
  <c r="U93" i="12" s="1"/>
  <c r="S102" i="12" s="1"/>
  <c r="T93" i="12"/>
  <c r="E19" i="1"/>
  <c r="N75" i="12"/>
  <c r="U182" i="12"/>
  <c r="N176" i="12"/>
  <c r="N146" i="2"/>
  <c r="P176" i="12"/>
  <c r="U176" i="12" s="1"/>
  <c r="S189" i="12" s="1"/>
  <c r="O189" i="12"/>
  <c r="P189" i="12" s="1"/>
  <c r="R189" i="12"/>
  <c r="E191" i="12"/>
  <c r="T176" i="12"/>
  <c r="T178" i="12"/>
  <c r="T228" i="2"/>
  <c r="U228" i="2" s="1"/>
  <c r="T196" i="2"/>
  <c r="U196" i="2" s="1"/>
  <c r="X230" i="2"/>
  <c r="AB230" i="2" s="1"/>
  <c r="E68" i="2"/>
  <c r="R285" i="2"/>
  <c r="T292" i="2"/>
  <c r="U292" i="2" s="1"/>
  <c r="T276" i="2"/>
  <c r="V276" i="2" s="1"/>
  <c r="X262" i="2"/>
  <c r="AB262" i="2" s="1"/>
  <c r="P276" i="2"/>
  <c r="U276" i="2" s="1"/>
  <c r="S285" i="2" s="1"/>
  <c r="T260" i="2"/>
  <c r="U260" i="2" s="1"/>
  <c r="V260" i="2" s="1"/>
  <c r="Z264" i="2" s="1"/>
  <c r="AA264" i="2" s="1"/>
  <c r="V294" i="2"/>
  <c r="Z297" i="2" s="1"/>
  <c r="AA297" i="2" s="1"/>
  <c r="P244" i="2"/>
  <c r="U244" i="2" s="1"/>
  <c r="S253" i="2" s="1"/>
  <c r="T244" i="2"/>
  <c r="V244" i="2" s="1"/>
  <c r="R253" i="2"/>
  <c r="T123" i="2"/>
  <c r="U123" i="2" s="1"/>
  <c r="V123" i="2" s="1"/>
  <c r="AC123" i="2" s="1"/>
  <c r="AD123" i="2" s="1"/>
  <c r="AE123" i="2" s="1"/>
  <c r="O221" i="2"/>
  <c r="P221" i="2" s="1"/>
  <c r="V125" i="2"/>
  <c r="AC125" i="2" s="1"/>
  <c r="AD125" i="2" s="1"/>
  <c r="AE125" i="2" s="1"/>
  <c r="T103" i="2"/>
  <c r="U103" i="2" s="1"/>
  <c r="V103" i="2" s="1"/>
  <c r="X103" i="2" s="1"/>
  <c r="AB103" i="2" s="1"/>
  <c r="T212" i="2"/>
  <c r="V212" i="2" s="1"/>
  <c r="T198" i="2"/>
  <c r="U198" i="2" s="1"/>
  <c r="R191" i="12"/>
  <c r="T105" i="2"/>
  <c r="U105" i="2" s="1"/>
  <c r="V105" i="2" s="1"/>
  <c r="X105" i="2" s="1"/>
  <c r="AB105" i="2" s="1"/>
  <c r="R189" i="2"/>
  <c r="O191" i="12"/>
  <c r="P191" i="12" s="1"/>
  <c r="P178" i="12"/>
  <c r="U178" i="12" s="1"/>
  <c r="T133" i="2"/>
  <c r="U133" i="2" s="1"/>
  <c r="P304" i="12"/>
  <c r="U304" i="12" s="1"/>
  <c r="S317" i="12" s="1"/>
  <c r="P346" i="12"/>
  <c r="P91" i="12"/>
  <c r="V346" i="12"/>
  <c r="T93" i="2"/>
  <c r="U93" i="2" s="1"/>
  <c r="V93" i="2" s="1"/>
  <c r="X93" i="2" s="1"/>
  <c r="AB93" i="2" s="1"/>
  <c r="R315" i="12"/>
  <c r="U212" i="2"/>
  <c r="R221" i="2"/>
  <c r="T180" i="2"/>
  <c r="V180" i="2" s="1"/>
  <c r="O189" i="2"/>
  <c r="P189" i="2" s="1"/>
  <c r="P180" i="2"/>
  <c r="X135" i="2"/>
  <c r="AB135" i="2" s="1"/>
  <c r="AF135" i="2" s="1"/>
  <c r="AG135" i="2" s="1"/>
  <c r="AH135" i="2" s="1"/>
  <c r="T75" i="2"/>
  <c r="V75" i="2" s="1"/>
  <c r="D9" i="1"/>
  <c r="N39" i="13" s="1"/>
  <c r="C94" i="1"/>
  <c r="E20" i="2"/>
  <c r="E84" i="2"/>
  <c r="E36" i="2"/>
  <c r="P13" i="2"/>
  <c r="P43" i="2"/>
  <c r="O52" i="2"/>
  <c r="P52" i="2" s="1"/>
  <c r="P75" i="2"/>
  <c r="U75" i="2" s="1"/>
  <c r="S82" i="2" s="1"/>
  <c r="N274" i="2"/>
  <c r="M292" i="2"/>
  <c r="M260" i="2"/>
  <c r="M228" i="2"/>
  <c r="N178" i="2"/>
  <c r="S29" i="2"/>
  <c r="S27" i="2"/>
  <c r="E4" i="1"/>
  <c r="Q146" i="2"/>
  <c r="R146" i="2" s="1"/>
  <c r="S274" i="2"/>
  <c r="S178" i="2"/>
  <c r="S242" i="2"/>
  <c r="S210" i="2"/>
  <c r="O187" i="2"/>
  <c r="P187" i="2" s="1"/>
  <c r="P178" i="2"/>
  <c r="O283" i="2"/>
  <c r="P283" i="2" s="1"/>
  <c r="P274" i="2"/>
  <c r="O251" i="2"/>
  <c r="P251" i="2" s="1"/>
  <c r="P242" i="2"/>
  <c r="O219" i="2"/>
  <c r="P219" i="2" s="1"/>
  <c r="P210" i="2"/>
  <c r="X113" i="2"/>
  <c r="O20" i="2"/>
  <c r="P20" i="2" s="1"/>
  <c r="AC115" i="2"/>
  <c r="AD115" i="2" s="1"/>
  <c r="AE115" i="2" s="1"/>
  <c r="AF115" i="2" s="1"/>
  <c r="AG115" i="2" s="1"/>
  <c r="S43" i="2"/>
  <c r="S61" i="2"/>
  <c r="P45" i="2"/>
  <c r="O50" i="2"/>
  <c r="S59" i="2"/>
  <c r="O82" i="2"/>
  <c r="P59" i="2"/>
  <c r="O66" i="2"/>
  <c r="O68" i="2"/>
  <c r="P68" i="2" s="1"/>
  <c r="P61" i="2"/>
  <c r="O34" i="2"/>
  <c r="P27" i="2"/>
  <c r="P29" i="2"/>
  <c r="O36" i="2"/>
  <c r="P36" i="2" s="1"/>
  <c r="S13" i="2"/>
  <c r="S45" i="2"/>
  <c r="P77" i="2"/>
  <c r="O84" i="2"/>
  <c r="P84" i="2" s="1"/>
  <c r="S77" i="2"/>
  <c r="N164" i="2"/>
  <c r="P164" i="2" s="1"/>
  <c r="K166" i="2"/>
  <c r="K164" i="2"/>
  <c r="N166" i="2"/>
  <c r="P166" i="2" s="1"/>
  <c r="L148" i="2"/>
  <c r="N89" i="13" l="1"/>
  <c r="N100" i="13"/>
  <c r="F14" i="1"/>
  <c r="N65" i="13"/>
  <c r="N76" i="13"/>
  <c r="N17" i="13"/>
  <c r="N28" i="13"/>
  <c r="P260" i="12"/>
  <c r="U260" i="12" s="1"/>
  <c r="S273" i="12" s="1"/>
  <c r="P180" i="12"/>
  <c r="U180" i="12" s="1"/>
  <c r="N417" i="13"/>
  <c r="N434" i="13"/>
  <c r="Z415" i="13"/>
  <c r="W432" i="13"/>
  <c r="M451" i="13"/>
  <c r="W449" i="13"/>
  <c r="M372" i="12"/>
  <c r="H85" i="1"/>
  <c r="AK369" i="13"/>
  <c r="AJ386" i="13"/>
  <c r="M330" i="12"/>
  <c r="M399" i="13"/>
  <c r="W397" i="13"/>
  <c r="H81" i="1"/>
  <c r="AK317" i="13"/>
  <c r="AJ334" i="13"/>
  <c r="M288" i="12"/>
  <c r="M347" i="13"/>
  <c r="W345" i="13"/>
  <c r="Y348" i="12"/>
  <c r="Z356" i="12" s="1"/>
  <c r="AA356" i="12" s="1"/>
  <c r="W212" i="2"/>
  <c r="X212" i="2" s="1"/>
  <c r="Y212" i="2" s="1"/>
  <c r="Z212" i="2" s="1"/>
  <c r="S221" i="2"/>
  <c r="R35" i="12"/>
  <c r="S35" i="12" s="1"/>
  <c r="V370" i="12"/>
  <c r="Z376" i="12" s="1"/>
  <c r="AA376" i="12" s="1"/>
  <c r="V374" i="12"/>
  <c r="Z378" i="12" s="1"/>
  <c r="AA378" i="12" s="1"/>
  <c r="V372" i="12"/>
  <c r="Z377" i="12" s="1"/>
  <c r="AA377" i="12" s="1"/>
  <c r="N261" i="13"/>
  <c r="Z259" i="13"/>
  <c r="N178" i="12"/>
  <c r="N208" i="13"/>
  <c r="M242" i="13"/>
  <c r="W240" i="13"/>
  <c r="AC419" i="13"/>
  <c r="AA419" i="13"/>
  <c r="R382" i="13"/>
  <c r="U365" i="13"/>
  <c r="T365" i="13"/>
  <c r="V365" i="13" s="1"/>
  <c r="U367" i="13"/>
  <c r="R384" i="13"/>
  <c r="T367" i="13"/>
  <c r="S280" i="13"/>
  <c r="J280" i="13"/>
  <c r="K280" i="13" s="1"/>
  <c r="S278" i="13"/>
  <c r="J278" i="13"/>
  <c r="K278" i="13" s="1"/>
  <c r="J191" i="12"/>
  <c r="K191" i="12" s="1"/>
  <c r="L191" i="12" s="1"/>
  <c r="N191" i="12" s="1"/>
  <c r="S191" i="12"/>
  <c r="V263" i="13"/>
  <c r="X263" i="13" s="1"/>
  <c r="W261" i="13"/>
  <c r="X261" i="13" s="1"/>
  <c r="S227" i="13"/>
  <c r="J227" i="13"/>
  <c r="K227" i="13" s="1"/>
  <c r="W208" i="13"/>
  <c r="X208" i="13" s="1"/>
  <c r="S225" i="13"/>
  <c r="J225" i="13"/>
  <c r="K225" i="13" s="1"/>
  <c r="AC175" i="13"/>
  <c r="AD175" i="13" s="1"/>
  <c r="AE175" i="13" s="1"/>
  <c r="AC133" i="13"/>
  <c r="AD133" i="13" s="1"/>
  <c r="AE133" i="13" s="1"/>
  <c r="X133" i="13"/>
  <c r="AB133" i="13" s="1"/>
  <c r="AE124" i="13"/>
  <c r="AB113" i="13"/>
  <c r="X124" i="13"/>
  <c r="AB124" i="13" s="1"/>
  <c r="AA89" i="13"/>
  <c r="AC89" i="13"/>
  <c r="AD89" i="13" s="1"/>
  <c r="AE89" i="13" s="1"/>
  <c r="S70" i="13"/>
  <c r="V61" i="13"/>
  <c r="AA65" i="13"/>
  <c r="AC65" i="13"/>
  <c r="AD65" i="13" s="1"/>
  <c r="AE65" i="13" s="1"/>
  <c r="S46" i="13"/>
  <c r="J46" i="13"/>
  <c r="K46" i="13" s="1"/>
  <c r="AA41" i="13"/>
  <c r="AC41" i="13"/>
  <c r="AD41" i="13" s="1"/>
  <c r="AE41" i="13" s="1"/>
  <c r="AE52" i="13" s="1"/>
  <c r="T11" i="13"/>
  <c r="T13" i="13"/>
  <c r="T15" i="13"/>
  <c r="J357" i="12"/>
  <c r="K357" i="12" s="1"/>
  <c r="L357" i="12" s="1"/>
  <c r="Q357" i="12" s="1"/>
  <c r="V139" i="12"/>
  <c r="AC139" i="12" s="1"/>
  <c r="AD139" i="12" s="1"/>
  <c r="AE139" i="12" s="1"/>
  <c r="T141" i="12"/>
  <c r="U141" i="12" s="1"/>
  <c r="V141" i="12" s="1"/>
  <c r="AC141" i="12" s="1"/>
  <c r="AD141" i="12" s="1"/>
  <c r="AE141" i="12" s="1"/>
  <c r="AC161" i="12"/>
  <c r="AD161" i="12" s="1"/>
  <c r="AE161" i="12" s="1"/>
  <c r="W85" i="13"/>
  <c r="AC179" i="13"/>
  <c r="W73" i="12"/>
  <c r="X163" i="12"/>
  <c r="AB163" i="12" s="1"/>
  <c r="AF163" i="12" s="1"/>
  <c r="J50" i="13"/>
  <c r="K50" i="13" s="1"/>
  <c r="U224" i="12"/>
  <c r="V193" i="13"/>
  <c r="V85" i="13"/>
  <c r="W39" i="13"/>
  <c r="V37" i="13"/>
  <c r="R235" i="12"/>
  <c r="T117" i="12"/>
  <c r="U117" i="12" s="1"/>
  <c r="V117" i="12" s="1"/>
  <c r="AC117" i="12" s="1"/>
  <c r="AD117" i="12" s="1"/>
  <c r="AE117" i="12" s="1"/>
  <c r="U137" i="13"/>
  <c r="P11" i="13"/>
  <c r="U11" i="13" s="1"/>
  <c r="O22" i="13"/>
  <c r="P22" i="13" s="1"/>
  <c r="W83" i="13"/>
  <c r="V111" i="13"/>
  <c r="R24" i="13"/>
  <c r="T137" i="12"/>
  <c r="U137" i="12" s="1"/>
  <c r="V137" i="12" s="1"/>
  <c r="X137" i="12" s="1"/>
  <c r="AB137" i="12" s="1"/>
  <c r="X165" i="12"/>
  <c r="AB165" i="12" s="1"/>
  <c r="AF165" i="12" s="1"/>
  <c r="AG165" i="12" s="1"/>
  <c r="AH165" i="12" s="1"/>
  <c r="AN165" i="12" s="1"/>
  <c r="AO165" i="12" s="1"/>
  <c r="AP165" i="12" s="1"/>
  <c r="U302" i="12"/>
  <c r="W302" i="12" s="1"/>
  <c r="V39" i="13"/>
  <c r="V59" i="13"/>
  <c r="R64" i="12"/>
  <c r="U95" i="12"/>
  <c r="T244" i="12"/>
  <c r="U244" i="12" s="1"/>
  <c r="V244" i="12" s="1"/>
  <c r="Z250" i="12" s="1"/>
  <c r="AA250" i="12" s="1"/>
  <c r="T246" i="12"/>
  <c r="U246" i="12" s="1"/>
  <c r="V246" i="12" s="1"/>
  <c r="W246" i="12" s="1"/>
  <c r="AC151" i="13"/>
  <c r="AD151" i="13" s="1"/>
  <c r="AE151" i="13" s="1"/>
  <c r="V244" i="13"/>
  <c r="V107" i="13"/>
  <c r="O26" i="13"/>
  <c r="P26" i="13" s="1"/>
  <c r="P15" i="13"/>
  <c r="U15" i="13" s="1"/>
  <c r="S26" i="13" s="1"/>
  <c r="J96" i="13"/>
  <c r="K96" i="13" s="1"/>
  <c r="W210" i="13"/>
  <c r="V177" i="13"/>
  <c r="V453" i="13"/>
  <c r="R22" i="13"/>
  <c r="V191" i="13"/>
  <c r="X191" i="13" s="1"/>
  <c r="AB191" i="13" s="1"/>
  <c r="P13" i="13"/>
  <c r="U13" i="13" s="1"/>
  <c r="S24" i="13" s="1"/>
  <c r="O24" i="13"/>
  <c r="P24" i="13" s="1"/>
  <c r="U91" i="12"/>
  <c r="R277" i="12"/>
  <c r="T220" i="12"/>
  <c r="V220" i="12" s="1"/>
  <c r="U346" i="12"/>
  <c r="T127" i="12"/>
  <c r="U127" i="12" s="1"/>
  <c r="V127" i="12" s="1"/>
  <c r="AC127" i="12" s="1"/>
  <c r="AD127" i="12" s="1"/>
  <c r="AE127" i="12" s="1"/>
  <c r="U149" i="13"/>
  <c r="V288" i="12"/>
  <c r="X288" i="12" s="1"/>
  <c r="AB288" i="12" s="1"/>
  <c r="R273" i="12"/>
  <c r="R275" i="12"/>
  <c r="R193" i="12"/>
  <c r="T248" i="12"/>
  <c r="U248" i="12" s="1"/>
  <c r="T115" i="12"/>
  <c r="U135" i="13"/>
  <c r="X151" i="13"/>
  <c r="AB151" i="13" s="1"/>
  <c r="V83" i="13"/>
  <c r="V451" i="13"/>
  <c r="V242" i="13"/>
  <c r="R26" i="13"/>
  <c r="O235" i="12"/>
  <c r="P235" i="12" s="1"/>
  <c r="T222" i="12"/>
  <c r="V222" i="12" s="1"/>
  <c r="T180" i="12"/>
  <c r="V180" i="12" s="1"/>
  <c r="R231" i="12"/>
  <c r="U218" i="12"/>
  <c r="O231" i="12"/>
  <c r="P231" i="12" s="1"/>
  <c r="T218" i="12"/>
  <c r="V218" i="12" s="1"/>
  <c r="P220" i="12"/>
  <c r="U222" i="12"/>
  <c r="S235" i="12" s="1"/>
  <c r="R233" i="12"/>
  <c r="R42" i="12"/>
  <c r="T33" i="12"/>
  <c r="V33" i="12" s="1"/>
  <c r="T55" i="12"/>
  <c r="V55" i="12" s="1"/>
  <c r="R62" i="12"/>
  <c r="T53" i="12"/>
  <c r="V53" i="12" s="1"/>
  <c r="W75" i="12"/>
  <c r="X75" i="12" s="1"/>
  <c r="J84" i="12"/>
  <c r="K84" i="12" s="1"/>
  <c r="W71" i="12"/>
  <c r="X71" i="12" s="1"/>
  <c r="Y71" i="12" s="1"/>
  <c r="Z71" i="12" s="1"/>
  <c r="J80" i="12"/>
  <c r="K80" i="12" s="1"/>
  <c r="L80" i="12" s="1"/>
  <c r="Q80" i="12" s="1"/>
  <c r="O60" i="12"/>
  <c r="P60" i="12" s="1"/>
  <c r="P51" i="12"/>
  <c r="O64" i="12"/>
  <c r="P64" i="12" s="1"/>
  <c r="P55" i="12"/>
  <c r="P53" i="12"/>
  <c r="O62" i="12"/>
  <c r="P62" i="12" s="1"/>
  <c r="R60" i="12"/>
  <c r="U57" i="12"/>
  <c r="T51" i="12"/>
  <c r="V51" i="12" s="1"/>
  <c r="O13" i="12"/>
  <c r="O22" i="12" s="1"/>
  <c r="P22" i="12" s="1"/>
  <c r="O15" i="12"/>
  <c r="P15" i="12" s="1"/>
  <c r="N11" i="12"/>
  <c r="Q11" i="12"/>
  <c r="R11" i="12" s="1"/>
  <c r="S11" i="12" s="1"/>
  <c r="Q15" i="12"/>
  <c r="R15" i="12" s="1"/>
  <c r="S15" i="12" s="1"/>
  <c r="N15" i="12"/>
  <c r="Q13" i="12"/>
  <c r="R13" i="12" s="1"/>
  <c r="S13" i="12" s="1"/>
  <c r="N13" i="12"/>
  <c r="O11" i="12"/>
  <c r="U37" i="12"/>
  <c r="R40" i="12"/>
  <c r="T31" i="12"/>
  <c r="V31" i="12" s="1"/>
  <c r="P31" i="12"/>
  <c r="O40" i="12"/>
  <c r="P40" i="12" s="1"/>
  <c r="P33" i="12"/>
  <c r="O42" i="12"/>
  <c r="P42" i="12" s="1"/>
  <c r="T262" i="12"/>
  <c r="V262" i="12" s="1"/>
  <c r="P262" i="12"/>
  <c r="T264" i="12"/>
  <c r="V264" i="12" s="1"/>
  <c r="E9" i="1"/>
  <c r="N35" i="12"/>
  <c r="N346" i="12"/>
  <c r="L361" i="12"/>
  <c r="T260" i="12"/>
  <c r="U266" i="12"/>
  <c r="X328" i="12"/>
  <c r="AB328" i="12" s="1"/>
  <c r="Z335" i="12"/>
  <c r="AA335" i="12" s="1"/>
  <c r="Z336" i="12"/>
  <c r="AA336" i="12" s="1"/>
  <c r="Z334" i="12"/>
  <c r="AA334" i="12" s="1"/>
  <c r="AB330" i="12"/>
  <c r="W306" i="12"/>
  <c r="X306" i="12" s="1"/>
  <c r="Y306" i="12" s="1"/>
  <c r="AC306" i="12" s="1"/>
  <c r="P264" i="12"/>
  <c r="J319" i="12"/>
  <c r="K319" i="12" s="1"/>
  <c r="J317" i="12"/>
  <c r="K317" i="12" s="1"/>
  <c r="V290" i="12"/>
  <c r="X290" i="12" s="1"/>
  <c r="AB290" i="12" s="1"/>
  <c r="V286" i="12"/>
  <c r="W286" i="12" s="1"/>
  <c r="V153" i="12"/>
  <c r="X149" i="12"/>
  <c r="AB149" i="12" s="1"/>
  <c r="AC149" i="12"/>
  <c r="AD149" i="12" s="1"/>
  <c r="AE149" i="12" s="1"/>
  <c r="V129" i="12"/>
  <c r="W93" i="12"/>
  <c r="V125" i="12"/>
  <c r="X125" i="12" s="1"/>
  <c r="AB125" i="12" s="1"/>
  <c r="F19" i="1"/>
  <c r="Z89" i="13" s="1"/>
  <c r="D94" i="1"/>
  <c r="M244" i="13" s="1"/>
  <c r="M204" i="12"/>
  <c r="V228" i="2"/>
  <c r="X228" i="2" s="1"/>
  <c r="AB228" i="2" s="1"/>
  <c r="Z210" i="12"/>
  <c r="AA210" i="12" s="1"/>
  <c r="X206" i="12"/>
  <c r="AB206" i="12" s="1"/>
  <c r="W202" i="12"/>
  <c r="X202" i="12"/>
  <c r="AB202" i="12" s="1"/>
  <c r="J189" i="12"/>
  <c r="K189" i="12" s="1"/>
  <c r="L189" i="12" s="1"/>
  <c r="N189" i="12" s="1"/>
  <c r="E193" i="12"/>
  <c r="V176" i="12"/>
  <c r="W176" i="12"/>
  <c r="V196" i="2"/>
  <c r="X196" i="2" s="1"/>
  <c r="AB196" i="2" s="1"/>
  <c r="X294" i="2"/>
  <c r="AB294" i="2" s="1"/>
  <c r="V292" i="2"/>
  <c r="X292" i="2" s="1"/>
  <c r="AB292" i="2" s="1"/>
  <c r="W304" i="12"/>
  <c r="X304" i="12" s="1"/>
  <c r="P82" i="2"/>
  <c r="P66" i="2"/>
  <c r="P50" i="2"/>
  <c r="P34" i="2"/>
  <c r="J285" i="2"/>
  <c r="K285" i="2" s="1"/>
  <c r="L285" i="2" s="1"/>
  <c r="N285" i="2" s="1"/>
  <c r="W276" i="2"/>
  <c r="X276" i="2" s="1"/>
  <c r="Y276" i="2" s="1"/>
  <c r="Z282" i="2" s="1"/>
  <c r="AA282" i="2" s="1"/>
  <c r="AC93" i="2"/>
  <c r="AD93" i="2" s="1"/>
  <c r="J253" i="2"/>
  <c r="K253" i="2" s="1"/>
  <c r="L253" i="2" s="1"/>
  <c r="N253" i="2" s="1"/>
  <c r="W244" i="2"/>
  <c r="X244" i="2" s="1"/>
  <c r="Y244" i="2" s="1"/>
  <c r="Z244" i="2" s="1"/>
  <c r="J221" i="2"/>
  <c r="K221" i="2" s="1"/>
  <c r="L221" i="2" s="1"/>
  <c r="Q221" i="2" s="1"/>
  <c r="X125" i="2"/>
  <c r="AB125" i="2" s="1"/>
  <c r="AF125" i="2" s="1"/>
  <c r="AG125" i="2" s="1"/>
  <c r="AH125" i="2" s="1"/>
  <c r="N153" i="2"/>
  <c r="N151" i="2" s="1"/>
  <c r="O151" i="2" s="1"/>
  <c r="V113" i="12"/>
  <c r="AC113" i="12" s="1"/>
  <c r="AD113" i="12" s="1"/>
  <c r="AE113" i="12" s="1"/>
  <c r="W344" i="12"/>
  <c r="AC105" i="2"/>
  <c r="AD105" i="2" s="1"/>
  <c r="AE105" i="2" s="1"/>
  <c r="AF105" i="2" s="1"/>
  <c r="AG105" i="2" s="1"/>
  <c r="AH105" i="2" s="1"/>
  <c r="M164" i="2"/>
  <c r="J82" i="12"/>
  <c r="K82" i="12" s="1"/>
  <c r="V73" i="12"/>
  <c r="U180" i="2"/>
  <c r="V133" i="2"/>
  <c r="X133" i="2" s="1"/>
  <c r="AB133" i="2" s="1"/>
  <c r="X151" i="12"/>
  <c r="AB151" i="12" s="1"/>
  <c r="V93" i="12"/>
  <c r="V198" i="2"/>
  <c r="W198" i="2" s="1"/>
  <c r="J102" i="12"/>
  <c r="K102" i="12" s="1"/>
  <c r="V344" i="12"/>
  <c r="AC151" i="12"/>
  <c r="AD151" i="12" s="1"/>
  <c r="AE151" i="12" s="1"/>
  <c r="M166" i="2"/>
  <c r="X260" i="2"/>
  <c r="AB260" i="2" s="1"/>
  <c r="X123" i="2"/>
  <c r="AB123" i="2" s="1"/>
  <c r="AF123" i="2" s="1"/>
  <c r="W75" i="2"/>
  <c r="F4" i="1"/>
  <c r="T43" i="2"/>
  <c r="V43" i="2" s="1"/>
  <c r="U47" i="2"/>
  <c r="U182" i="2"/>
  <c r="T178" i="2"/>
  <c r="V178" i="2" s="1"/>
  <c r="R82" i="2"/>
  <c r="U79" i="2"/>
  <c r="T13" i="2"/>
  <c r="V13" i="2" s="1"/>
  <c r="U278" i="2"/>
  <c r="T274" i="2"/>
  <c r="V274" i="2" s="1"/>
  <c r="T210" i="2"/>
  <c r="V210" i="2" s="1"/>
  <c r="U214" i="2"/>
  <c r="R36" i="2"/>
  <c r="T29" i="2"/>
  <c r="V29" i="2" s="1"/>
  <c r="T45" i="2"/>
  <c r="V45" i="2" s="1"/>
  <c r="T77" i="2"/>
  <c r="V77" i="2" s="1"/>
  <c r="R34" i="2"/>
  <c r="U31" i="2"/>
  <c r="T27" i="2"/>
  <c r="V27" i="2" s="1"/>
  <c r="T59" i="2"/>
  <c r="V59" i="2" s="1"/>
  <c r="U63" i="2"/>
  <c r="T61" i="2"/>
  <c r="V61" i="2" s="1"/>
  <c r="U246" i="2"/>
  <c r="T242" i="2"/>
  <c r="V242" i="2" s="1"/>
  <c r="D114" i="1"/>
  <c r="M294" i="2"/>
  <c r="D89" i="1"/>
  <c r="N276" i="2"/>
  <c r="D109" i="1"/>
  <c r="M262" i="2"/>
  <c r="D104" i="1"/>
  <c r="M230" i="2"/>
  <c r="D77" i="1"/>
  <c r="N180" i="2"/>
  <c r="N148" i="2"/>
  <c r="U242" i="2"/>
  <c r="S251" i="2" s="1"/>
  <c r="O148" i="2"/>
  <c r="R251" i="2"/>
  <c r="R283" i="2"/>
  <c r="U274" i="2"/>
  <c r="S283" i="2" s="1"/>
  <c r="R187" i="2"/>
  <c r="U178" i="2"/>
  <c r="S187" i="2" s="1"/>
  <c r="R219" i="2"/>
  <c r="U210" i="2"/>
  <c r="S219" i="2" s="1"/>
  <c r="R50" i="2"/>
  <c r="R66" i="2"/>
  <c r="R68" i="2"/>
  <c r="U29" i="2"/>
  <c r="S36" i="2" s="1"/>
  <c r="U27" i="2"/>
  <c r="S34" i="2" s="1"/>
  <c r="D73" i="1"/>
  <c r="N210" i="13" s="1"/>
  <c r="Q148" i="2"/>
  <c r="R148" i="2" s="1"/>
  <c r="AB113" i="2"/>
  <c r="AF113" i="2" s="1"/>
  <c r="AG113" i="2" s="1"/>
  <c r="AH113" i="2" s="1"/>
  <c r="Q166" i="2"/>
  <c r="R166" i="2" s="1"/>
  <c r="S166" i="2" s="1"/>
  <c r="U204" i="12" s="1"/>
  <c r="N168" i="2"/>
  <c r="O168" i="2" s="1"/>
  <c r="Q164" i="2"/>
  <c r="R164" i="2" s="1"/>
  <c r="S164" i="2" s="1"/>
  <c r="W260" i="2"/>
  <c r="U43" i="2"/>
  <c r="S50" i="2" s="1"/>
  <c r="AC103" i="2"/>
  <c r="AD103" i="2" s="1"/>
  <c r="AE103" i="2" s="1"/>
  <c r="AF103" i="2" s="1"/>
  <c r="AG103" i="2" s="1"/>
  <c r="AH103" i="2" s="1"/>
  <c r="AH115" i="2"/>
  <c r="U61" i="2"/>
  <c r="S68" i="2" s="1"/>
  <c r="U59" i="2"/>
  <c r="S66" i="2" s="1"/>
  <c r="U13" i="2"/>
  <c r="S20" i="2" s="1"/>
  <c r="R20" i="2"/>
  <c r="R52" i="2"/>
  <c r="U45" i="2"/>
  <c r="S52" i="2" s="1"/>
  <c r="U77" i="2"/>
  <c r="S84" i="2" s="1"/>
  <c r="R84" i="2"/>
  <c r="N169" i="2"/>
  <c r="O169" i="2" s="1"/>
  <c r="G14" i="1" l="1"/>
  <c r="H14" i="1" s="1"/>
  <c r="I14" i="1" s="1"/>
  <c r="J14" i="1" s="1"/>
  <c r="K14" i="1" s="1"/>
  <c r="L14" i="1" s="1"/>
  <c r="M14" i="1" s="1"/>
  <c r="Z65" i="13"/>
  <c r="F9" i="1"/>
  <c r="N41" i="13"/>
  <c r="N52" i="13"/>
  <c r="G4" i="1"/>
  <c r="H4" i="1" s="1"/>
  <c r="I4" i="1" s="1"/>
  <c r="J4" i="1" s="1"/>
  <c r="K4" i="1" s="1"/>
  <c r="L4" i="1" s="1"/>
  <c r="M4" i="1" s="1"/>
  <c r="Z17" i="13"/>
  <c r="AG163" i="12"/>
  <c r="AH163" i="12" s="1"/>
  <c r="AN163" i="12" s="1"/>
  <c r="AO163" i="12" s="1"/>
  <c r="AP163" i="12" s="1"/>
  <c r="X370" i="12"/>
  <c r="AB370" i="12" s="1"/>
  <c r="X372" i="12"/>
  <c r="AB372" i="12" s="1"/>
  <c r="Y261" i="13"/>
  <c r="Z273" i="13" s="1"/>
  <c r="AA273" i="13" s="1"/>
  <c r="Y263" i="13"/>
  <c r="Z274" i="13" s="1"/>
  <c r="AA274" i="13" s="1"/>
  <c r="W451" i="13"/>
  <c r="N419" i="13"/>
  <c r="N436" i="13"/>
  <c r="AK415" i="13"/>
  <c r="AJ432" i="13"/>
  <c r="M453" i="13"/>
  <c r="AI449" i="13"/>
  <c r="M374" i="12"/>
  <c r="M332" i="12"/>
  <c r="M401" i="13"/>
  <c r="W399" i="13"/>
  <c r="AI397" i="13"/>
  <c r="I85" i="1"/>
  <c r="AV369" i="13"/>
  <c r="AU386" i="13"/>
  <c r="M290" i="12"/>
  <c r="M349" i="13"/>
  <c r="W347" i="13"/>
  <c r="AI345" i="13"/>
  <c r="I81" i="1"/>
  <c r="AV317" i="13"/>
  <c r="AU334" i="13"/>
  <c r="AC348" i="12"/>
  <c r="N357" i="12"/>
  <c r="X374" i="12"/>
  <c r="AB374" i="12" s="1"/>
  <c r="AA348" i="12"/>
  <c r="T35" i="12"/>
  <c r="V35" i="12" s="1"/>
  <c r="U35" i="12"/>
  <c r="W35" i="12" s="1"/>
  <c r="R44" i="12"/>
  <c r="J359" i="12"/>
  <c r="K359" i="12" s="1"/>
  <c r="L359" i="12" s="1"/>
  <c r="N359" i="12" s="1"/>
  <c r="S359" i="12"/>
  <c r="W372" i="12"/>
  <c r="W370" i="12"/>
  <c r="W91" i="12"/>
  <c r="X91" i="12" s="1"/>
  <c r="S100" i="12"/>
  <c r="W95" i="12"/>
  <c r="X95" i="12" s="1"/>
  <c r="Y95" i="12" s="1"/>
  <c r="S104" i="12"/>
  <c r="AD419" i="13"/>
  <c r="AE419" i="13" s="1"/>
  <c r="AE436" i="13" s="1"/>
  <c r="AC453" i="13"/>
  <c r="AD453" i="13" s="1"/>
  <c r="AE453" i="13" s="1"/>
  <c r="J189" i="2"/>
  <c r="K189" i="2" s="1"/>
  <c r="L189" i="2" s="1"/>
  <c r="N189" i="2" s="1"/>
  <c r="S189" i="2"/>
  <c r="N263" i="13"/>
  <c r="AB419" i="13"/>
  <c r="X436" i="13"/>
  <c r="AB436" i="13" s="1"/>
  <c r="S384" i="13"/>
  <c r="J384" i="13"/>
  <c r="K384" i="13" s="1"/>
  <c r="S382" i="13"/>
  <c r="J382" i="13"/>
  <c r="K382" i="13" s="1"/>
  <c r="V367" i="13"/>
  <c r="L280" i="13"/>
  <c r="Q280" i="13" s="1"/>
  <c r="L278" i="13"/>
  <c r="Q278" i="13" s="1"/>
  <c r="J315" i="12"/>
  <c r="K315" i="12" s="1"/>
  <c r="L315" i="12" s="1"/>
  <c r="N315" i="12" s="1"/>
  <c r="S315" i="12"/>
  <c r="J231" i="12"/>
  <c r="K231" i="12" s="1"/>
  <c r="L231" i="12" s="1"/>
  <c r="N231" i="12" s="1"/>
  <c r="S231" i="12"/>
  <c r="J193" i="12"/>
  <c r="K193" i="12" s="1"/>
  <c r="S193" i="12"/>
  <c r="AA259" i="13"/>
  <c r="AA265" i="13"/>
  <c r="X282" i="13" s="1"/>
  <c r="AB282" i="13" s="1"/>
  <c r="AC259" i="13"/>
  <c r="AC265" i="13"/>
  <c r="AC299" i="13" s="1"/>
  <c r="AD299" i="13" s="1"/>
  <c r="AE299" i="13" s="1"/>
  <c r="AF299" i="13" s="1"/>
  <c r="AG299" i="13" s="1"/>
  <c r="W242" i="13"/>
  <c r="X242" i="13"/>
  <c r="AB242" i="13" s="1"/>
  <c r="X244" i="13"/>
  <c r="AB244" i="13" s="1"/>
  <c r="Y208" i="13"/>
  <c r="Z219" i="13" s="1"/>
  <c r="AA219" i="13" s="1"/>
  <c r="AC193" i="13"/>
  <c r="AD193" i="13" s="1"/>
  <c r="AE193" i="13" s="1"/>
  <c r="AC191" i="13"/>
  <c r="AD191" i="13" s="1"/>
  <c r="AE191" i="13" s="1"/>
  <c r="X193" i="13"/>
  <c r="AB193" i="13" s="1"/>
  <c r="AC177" i="13"/>
  <c r="AD177" i="13" s="1"/>
  <c r="AE177" i="13" s="1"/>
  <c r="AD179" i="13"/>
  <c r="AE179" i="13" s="1"/>
  <c r="AF179" i="13" s="1"/>
  <c r="AG179" i="13" s="1"/>
  <c r="AF175" i="13"/>
  <c r="AG175" i="13" s="1"/>
  <c r="AF151" i="13"/>
  <c r="AF133" i="13"/>
  <c r="AF113" i="13"/>
  <c r="X83" i="13"/>
  <c r="Y83" i="13" s="1"/>
  <c r="Z83" i="13" s="1"/>
  <c r="AE100" i="13"/>
  <c r="AB89" i="13"/>
  <c r="X100" i="13"/>
  <c r="AB100" i="13" s="1"/>
  <c r="AB65" i="13"/>
  <c r="AF65" i="13" s="1"/>
  <c r="X76" i="13"/>
  <c r="AB76" i="13" s="1"/>
  <c r="AE76" i="13"/>
  <c r="AB41" i="13"/>
  <c r="AF41" i="13" s="1"/>
  <c r="X52" i="13"/>
  <c r="AB52" i="13" s="1"/>
  <c r="S22" i="13"/>
  <c r="J22" i="13"/>
  <c r="K22" i="13" s="1"/>
  <c r="AA17" i="13"/>
  <c r="AC17" i="13"/>
  <c r="AD17" i="13" s="1"/>
  <c r="AE17" i="13" s="1"/>
  <c r="W244" i="12"/>
  <c r="J100" i="12"/>
  <c r="K100" i="12" s="1"/>
  <c r="L100" i="12" s="1"/>
  <c r="Q100" i="12" s="1"/>
  <c r="X139" i="12"/>
  <c r="AB139" i="12" s="1"/>
  <c r="AF139" i="12" s="1"/>
  <c r="AG139" i="12" s="1"/>
  <c r="AH139" i="12" s="1"/>
  <c r="AJ139" i="12" s="1"/>
  <c r="AM139" i="12" s="1"/>
  <c r="X73" i="12"/>
  <c r="Y73" i="12" s="1"/>
  <c r="AC147" i="13"/>
  <c r="Z293" i="12"/>
  <c r="AA293" i="12" s="1"/>
  <c r="W367" i="13"/>
  <c r="X85" i="13"/>
  <c r="X244" i="12"/>
  <c r="AB244" i="12" s="1"/>
  <c r="X117" i="12"/>
  <c r="AB117" i="12" s="1"/>
  <c r="AF117" i="12" s="1"/>
  <c r="AG117" i="12" s="1"/>
  <c r="X453" i="13"/>
  <c r="AB453" i="13" s="1"/>
  <c r="L225" i="13"/>
  <c r="X451" i="13"/>
  <c r="AB451" i="13" s="1"/>
  <c r="Z458" i="13"/>
  <c r="AA458" i="13" s="1"/>
  <c r="X177" i="13"/>
  <c r="AB177" i="13" s="1"/>
  <c r="J26" i="13"/>
  <c r="K26" i="13" s="1"/>
  <c r="L26" i="13" s="1"/>
  <c r="V13" i="13"/>
  <c r="V248" i="12"/>
  <c r="Z252" i="12" s="1"/>
  <c r="AA252" i="12" s="1"/>
  <c r="W417" i="13"/>
  <c r="X417" i="13" s="1"/>
  <c r="J94" i="13"/>
  <c r="K94" i="13" s="1"/>
  <c r="J104" i="12"/>
  <c r="K104" i="12" s="1"/>
  <c r="L104" i="12" s="1"/>
  <c r="Q104" i="12" s="1"/>
  <c r="J98" i="13"/>
  <c r="K98" i="13" s="1"/>
  <c r="L96" i="13"/>
  <c r="Q96" i="13" s="1"/>
  <c r="V63" i="13"/>
  <c r="V137" i="13"/>
  <c r="W87" i="13"/>
  <c r="X87" i="13" s="1"/>
  <c r="U262" i="12"/>
  <c r="S275" i="12" s="1"/>
  <c r="U33" i="12"/>
  <c r="S42" i="12" s="1"/>
  <c r="U31" i="12"/>
  <c r="V15" i="13"/>
  <c r="U51" i="12"/>
  <c r="S60" i="12" s="1"/>
  <c r="V149" i="13"/>
  <c r="Z459" i="13"/>
  <c r="AA459" i="13" s="1"/>
  <c r="Z250" i="13"/>
  <c r="AA250" i="13" s="1"/>
  <c r="V35" i="13"/>
  <c r="W365" i="13"/>
  <c r="X365" i="13" s="1"/>
  <c r="X39" i="13"/>
  <c r="L50" i="13"/>
  <c r="N50" i="13" s="1"/>
  <c r="U55" i="12"/>
  <c r="S64" i="12" s="1"/>
  <c r="J120" i="13"/>
  <c r="K120" i="13" s="1"/>
  <c r="W107" i="13"/>
  <c r="X107" i="13" s="1"/>
  <c r="V210" i="13"/>
  <c r="X210" i="13" s="1"/>
  <c r="W218" i="12"/>
  <c r="X218" i="12" s="1"/>
  <c r="U264" i="12"/>
  <c r="S277" i="12" s="1"/>
  <c r="U53" i="12"/>
  <c r="U220" i="12"/>
  <c r="Z249" i="13"/>
  <c r="AA249" i="13" s="1"/>
  <c r="V135" i="13"/>
  <c r="AC135" i="13" s="1"/>
  <c r="AD135" i="13" s="1"/>
  <c r="AE135" i="13" s="1"/>
  <c r="W109" i="13"/>
  <c r="X109" i="13" s="1"/>
  <c r="W15" i="13"/>
  <c r="J122" i="13"/>
  <c r="K122" i="13" s="1"/>
  <c r="W111" i="13"/>
  <c r="X111" i="13" s="1"/>
  <c r="L227" i="13"/>
  <c r="W180" i="12"/>
  <c r="X180" i="12" s="1"/>
  <c r="P13" i="12"/>
  <c r="J235" i="12"/>
  <c r="K235" i="12" s="1"/>
  <c r="L235" i="12" s="1"/>
  <c r="W222" i="12"/>
  <c r="X222" i="12" s="1"/>
  <c r="Y222" i="12" s="1"/>
  <c r="AC222" i="12" s="1"/>
  <c r="AC248" i="12" s="1"/>
  <c r="AD248" i="12" s="1"/>
  <c r="AE248" i="12" s="1"/>
  <c r="AA71" i="12"/>
  <c r="X80" i="12" s="1"/>
  <c r="AB80" i="12" s="1"/>
  <c r="Y75" i="12"/>
  <c r="AC75" i="12" s="1"/>
  <c r="AD75" i="12" s="1"/>
  <c r="AE75" i="12" s="1"/>
  <c r="AE84" i="12" s="1"/>
  <c r="L84" i="12"/>
  <c r="Q84" i="12" s="1"/>
  <c r="AC71" i="12"/>
  <c r="AD71" i="12" s="1"/>
  <c r="AE71" i="12" s="1"/>
  <c r="AE80" i="12" s="1"/>
  <c r="O24" i="12"/>
  <c r="P24" i="12" s="1"/>
  <c r="O20" i="12"/>
  <c r="P20" i="12" s="1"/>
  <c r="P11" i="12"/>
  <c r="T15" i="12"/>
  <c r="V15" i="12" s="1"/>
  <c r="R24" i="12"/>
  <c r="U17" i="12"/>
  <c r="T11" i="12"/>
  <c r="V11" i="12" s="1"/>
  <c r="R20" i="12"/>
  <c r="T13" i="12"/>
  <c r="V13" i="12" s="1"/>
  <c r="R22" i="12"/>
  <c r="U15" i="12"/>
  <c r="S24" i="12" s="1"/>
  <c r="Z232" i="2"/>
  <c r="AA232" i="2" s="1"/>
  <c r="X344" i="12"/>
  <c r="Y344" i="12" s="1"/>
  <c r="Z344" i="12" s="1"/>
  <c r="E89" i="1"/>
  <c r="N348" i="12"/>
  <c r="N361" i="12"/>
  <c r="W288" i="12"/>
  <c r="Q361" i="12"/>
  <c r="J273" i="12"/>
  <c r="K273" i="12" s="1"/>
  <c r="L273" i="12" s="1"/>
  <c r="N273" i="12" s="1"/>
  <c r="W260" i="12"/>
  <c r="W330" i="12"/>
  <c r="AD306" i="12"/>
  <c r="AE306" i="12" s="1"/>
  <c r="AE319" i="12" s="1"/>
  <c r="AC332" i="12"/>
  <c r="AD332" i="12" s="1"/>
  <c r="AE332" i="12" s="1"/>
  <c r="AF332" i="12" s="1"/>
  <c r="AG332" i="12" s="1"/>
  <c r="L319" i="12"/>
  <c r="N319" i="12" s="1"/>
  <c r="L317" i="12"/>
  <c r="Q317" i="12" s="1"/>
  <c r="AA306" i="12"/>
  <c r="Z306" i="12"/>
  <c r="Y304" i="12"/>
  <c r="Z313" i="12" s="1"/>
  <c r="Z314" i="12"/>
  <c r="AA314" i="12" s="1"/>
  <c r="Z292" i="12"/>
  <c r="AA292" i="12" s="1"/>
  <c r="X286" i="12"/>
  <c r="AB286" i="12" s="1"/>
  <c r="Z294" i="12"/>
  <c r="AA294" i="12" s="1"/>
  <c r="Z200" i="2"/>
  <c r="AA200" i="2" s="1"/>
  <c r="E77" i="1"/>
  <c r="N222" i="12"/>
  <c r="AC137" i="12"/>
  <c r="AD137" i="12" s="1"/>
  <c r="AE137" i="12" s="1"/>
  <c r="AF137" i="12" s="1"/>
  <c r="AG137" i="12" s="1"/>
  <c r="X153" i="12"/>
  <c r="AB153" i="12" s="1"/>
  <c r="AJ165" i="12"/>
  <c r="AM165" i="12" s="1"/>
  <c r="AQ165" i="12" s="1"/>
  <c r="AR165" i="12" s="1"/>
  <c r="AC153" i="12"/>
  <c r="AD153" i="12" s="1"/>
  <c r="AE153" i="12" s="1"/>
  <c r="X93" i="12"/>
  <c r="Y93" i="12" s="1"/>
  <c r="AA93" i="12" s="1"/>
  <c r="X102" i="12" s="1"/>
  <c r="AB102" i="12" s="1"/>
  <c r="AC129" i="12"/>
  <c r="AD129" i="12" s="1"/>
  <c r="AE129" i="12" s="1"/>
  <c r="X127" i="12"/>
  <c r="AB127" i="12" s="1"/>
  <c r="AF127" i="12" s="1"/>
  <c r="AG127" i="12" s="1"/>
  <c r="X141" i="12"/>
  <c r="AB141" i="12" s="1"/>
  <c r="AF141" i="12" s="1"/>
  <c r="AG141" i="12" s="1"/>
  <c r="AF149" i="12"/>
  <c r="AG149" i="12" s="1"/>
  <c r="AF151" i="12"/>
  <c r="AG151" i="12" s="1"/>
  <c r="X129" i="12"/>
  <c r="AB129" i="12" s="1"/>
  <c r="AC125" i="12"/>
  <c r="AD125" i="12" s="1"/>
  <c r="AE125" i="12" s="1"/>
  <c r="AF125" i="12" s="1"/>
  <c r="AG125" i="12" s="1"/>
  <c r="G19" i="1"/>
  <c r="W228" i="2"/>
  <c r="E109" i="1"/>
  <c r="E114" i="1"/>
  <c r="E104" i="1"/>
  <c r="E73" i="1"/>
  <c r="N180" i="12"/>
  <c r="E94" i="1"/>
  <c r="M246" i="13" s="1"/>
  <c r="M206" i="12"/>
  <c r="W196" i="2"/>
  <c r="Q189" i="12"/>
  <c r="Z296" i="2"/>
  <c r="AA296" i="2" s="1"/>
  <c r="W292" i="2"/>
  <c r="X113" i="12"/>
  <c r="AB113" i="12" s="1"/>
  <c r="W346" i="12"/>
  <c r="X346" i="12" s="1"/>
  <c r="Q285" i="2"/>
  <c r="AC133" i="2"/>
  <c r="AD133" i="2" s="1"/>
  <c r="AE133" i="2" s="1"/>
  <c r="AF133" i="2" s="1"/>
  <c r="AG133" i="2" s="1"/>
  <c r="AH133" i="2" s="1"/>
  <c r="X161" i="12"/>
  <c r="AB161" i="12" s="1"/>
  <c r="Z251" i="12"/>
  <c r="AA251" i="12" s="1"/>
  <c r="X246" i="12"/>
  <c r="AB246" i="12" s="1"/>
  <c r="X198" i="2"/>
  <c r="AB198" i="2" s="1"/>
  <c r="W180" i="2"/>
  <c r="X180" i="2" s="1"/>
  <c r="Y180" i="2" s="1"/>
  <c r="L102" i="12"/>
  <c r="Q102" i="12" s="1"/>
  <c r="X302" i="12"/>
  <c r="V204" i="12"/>
  <c r="X204" i="12" s="1"/>
  <c r="AB204" i="12" s="1"/>
  <c r="Z201" i="2"/>
  <c r="AA201" i="2" s="1"/>
  <c r="L82" i="12"/>
  <c r="Q82" i="12" s="1"/>
  <c r="V260" i="12"/>
  <c r="AG123" i="2"/>
  <c r="AH123" i="2" s="1"/>
  <c r="T166" i="2"/>
  <c r="U166" i="2" s="1"/>
  <c r="V166" i="2" s="1"/>
  <c r="Z169" i="2" s="1"/>
  <c r="AA169" i="2" s="1"/>
  <c r="T164" i="2"/>
  <c r="U164" i="2" s="1"/>
  <c r="V164" i="2" s="1"/>
  <c r="X164" i="2" s="1"/>
  <c r="AB164" i="2" s="1"/>
  <c r="AC244" i="2"/>
  <c r="AD244" i="2" s="1"/>
  <c r="AE244" i="2" s="1"/>
  <c r="AE253" i="2" s="1"/>
  <c r="Z250" i="2"/>
  <c r="Z218" i="2"/>
  <c r="AA218" i="2" s="1"/>
  <c r="AC212" i="2"/>
  <c r="AC230" i="2" s="1"/>
  <c r="AD230" i="2" s="1"/>
  <c r="AE230" i="2" s="1"/>
  <c r="AF230" i="2" s="1"/>
  <c r="AG230" i="2" s="1"/>
  <c r="AA244" i="2"/>
  <c r="X253" i="2" s="1"/>
  <c r="AB253" i="2" s="1"/>
  <c r="AA212" i="2"/>
  <c r="X221" i="2" s="1"/>
  <c r="AB221" i="2" s="1"/>
  <c r="AA276" i="2"/>
  <c r="AC276" i="2"/>
  <c r="J82" i="2"/>
  <c r="K82" i="2" s="1"/>
  <c r="L82" i="2" s="1"/>
  <c r="Q82" i="2" s="1"/>
  <c r="X75" i="2"/>
  <c r="Y75" i="2" s="1"/>
  <c r="AA75" i="2" s="1"/>
  <c r="AB75" i="2" s="1"/>
  <c r="N221" i="2"/>
  <c r="J283" i="2"/>
  <c r="K283" i="2" s="1"/>
  <c r="J187" i="2"/>
  <c r="K187" i="2" s="1"/>
  <c r="J68" i="2"/>
  <c r="K68" i="2" s="1"/>
  <c r="J52" i="2"/>
  <c r="K52" i="2" s="1"/>
  <c r="J50" i="2"/>
  <c r="K50" i="2" s="1"/>
  <c r="L50" i="2" s="1"/>
  <c r="Q50" i="2" s="1"/>
  <c r="J20" i="2"/>
  <c r="K20" i="2" s="1"/>
  <c r="J251" i="2"/>
  <c r="K251" i="2" s="1"/>
  <c r="J219" i="2"/>
  <c r="K219" i="2" s="1"/>
  <c r="W77" i="2"/>
  <c r="X77" i="2" s="1"/>
  <c r="J84" i="2"/>
  <c r="K84" i="2" s="1"/>
  <c r="J66" i="2"/>
  <c r="K66" i="2" s="1"/>
  <c r="J34" i="2"/>
  <c r="K34" i="2" s="1"/>
  <c r="J36" i="2"/>
  <c r="K36" i="2" s="1"/>
  <c r="W29" i="2"/>
  <c r="X29" i="2" s="1"/>
  <c r="W27" i="2"/>
  <c r="X27" i="2" s="1"/>
  <c r="Z276" i="2"/>
  <c r="W242" i="2"/>
  <c r="X242" i="2" s="1"/>
  <c r="W178" i="2"/>
  <c r="X178" i="2" s="1"/>
  <c r="W274" i="2"/>
  <c r="X274" i="2" s="1"/>
  <c r="W210" i="2"/>
  <c r="X210" i="2" s="1"/>
  <c r="Q253" i="2"/>
  <c r="W43" i="2"/>
  <c r="X43" i="2" s="1"/>
  <c r="W61" i="2"/>
  <c r="X61" i="2" s="1"/>
  <c r="W59" i="2"/>
  <c r="X59" i="2" s="1"/>
  <c r="W13" i="2"/>
  <c r="X13" i="2" s="1"/>
  <c r="W45" i="2"/>
  <c r="X45" i="2" s="1"/>
  <c r="S148" i="2"/>
  <c r="O157" i="2"/>
  <c r="P157" i="2" s="1"/>
  <c r="P148" i="2"/>
  <c r="AA95" i="12" l="1"/>
  <c r="X104" i="12" s="1"/>
  <c r="AB104" i="12" s="1"/>
  <c r="Q189" i="2"/>
  <c r="AC261" i="13"/>
  <c r="AD261" i="13" s="1"/>
  <c r="AE261" i="13" s="1"/>
  <c r="AE278" i="13" s="1"/>
  <c r="Z263" i="13"/>
  <c r="AC95" i="12"/>
  <c r="AD95" i="12" s="1"/>
  <c r="AE95" i="12" s="1"/>
  <c r="AE104" i="12" s="1"/>
  <c r="J44" i="12"/>
  <c r="K44" i="12" s="1"/>
  <c r="L44" i="12" s="1"/>
  <c r="Q44" i="12" s="1"/>
  <c r="G9" i="1"/>
  <c r="H9" i="1" s="1"/>
  <c r="I9" i="1" s="1"/>
  <c r="J9" i="1" s="1"/>
  <c r="K9" i="1" s="1"/>
  <c r="L9" i="1" s="1"/>
  <c r="M9" i="1" s="1"/>
  <c r="Z41" i="13"/>
  <c r="Z261" i="13"/>
  <c r="AC263" i="13"/>
  <c r="AC297" i="13" s="1"/>
  <c r="AD297" i="13" s="1"/>
  <c r="AE297" i="13" s="1"/>
  <c r="AF297" i="13" s="1"/>
  <c r="AG297" i="13" s="1"/>
  <c r="F114" i="1"/>
  <c r="M455" i="13"/>
  <c r="AT449" i="13"/>
  <c r="W374" i="12"/>
  <c r="N421" i="13"/>
  <c r="N438" i="13"/>
  <c r="AV415" i="13"/>
  <c r="AU432" i="13"/>
  <c r="Z419" i="13"/>
  <c r="W453" i="13"/>
  <c r="M403" i="13"/>
  <c r="W401" i="13"/>
  <c r="AT397" i="13"/>
  <c r="J85" i="1"/>
  <c r="K85" i="1" s="1"/>
  <c r="L85" i="1" s="1"/>
  <c r="M85" i="1" s="1"/>
  <c r="BG369" i="13"/>
  <c r="BF386" i="13"/>
  <c r="F104" i="1"/>
  <c r="M351" i="13"/>
  <c r="W349" i="13"/>
  <c r="AT345" i="13"/>
  <c r="J81" i="1"/>
  <c r="K81" i="1" s="1"/>
  <c r="L81" i="1" s="1"/>
  <c r="M81" i="1" s="1"/>
  <c r="BG317" i="13"/>
  <c r="BF334" i="13"/>
  <c r="Q315" i="12"/>
  <c r="X35" i="12"/>
  <c r="Y35" i="12" s="1"/>
  <c r="Z35" i="12" s="1"/>
  <c r="X367" i="13"/>
  <c r="S44" i="12"/>
  <c r="AD348" i="12"/>
  <c r="AE348" i="12" s="1"/>
  <c r="AE361" i="12" s="1"/>
  <c r="AC374" i="12"/>
  <c r="AD374" i="12" s="1"/>
  <c r="AE374" i="12" s="1"/>
  <c r="AF374" i="12" s="1"/>
  <c r="AG374" i="12" s="1"/>
  <c r="AH374" i="12" s="1"/>
  <c r="AK378" i="12" s="1"/>
  <c r="AL378" i="12" s="1"/>
  <c r="AB348" i="12"/>
  <c r="X361" i="12"/>
  <c r="AB361" i="12" s="1"/>
  <c r="AS165" i="12"/>
  <c r="AU165" i="12" s="1"/>
  <c r="J62" i="12"/>
  <c r="K62" i="12" s="1"/>
  <c r="L62" i="12" s="1"/>
  <c r="Q62" i="12" s="1"/>
  <c r="S62" i="12"/>
  <c r="W31" i="12"/>
  <c r="X31" i="12" s="1"/>
  <c r="Y31" i="12" s="1"/>
  <c r="Z31" i="12" s="1"/>
  <c r="S40" i="12"/>
  <c r="AF453" i="13"/>
  <c r="AG453" i="13" s="1"/>
  <c r="F77" i="1"/>
  <c r="N265" i="13"/>
  <c r="N282" i="13"/>
  <c r="F73" i="1"/>
  <c r="N212" i="13"/>
  <c r="N229" i="13"/>
  <c r="W244" i="13"/>
  <c r="Y417" i="13"/>
  <c r="Z417" i="13" s="1"/>
  <c r="AF419" i="13"/>
  <c r="AH419" i="13" s="1"/>
  <c r="AI419" i="13" s="1"/>
  <c r="AL419" i="13" s="1"/>
  <c r="L384" i="13"/>
  <c r="N384" i="13" s="1"/>
  <c r="Y365" i="13"/>
  <c r="Z365" i="13" s="1"/>
  <c r="L382" i="13"/>
  <c r="N382" i="13" s="1"/>
  <c r="N280" i="13"/>
  <c r="AH299" i="13"/>
  <c r="AI299" i="13" s="1"/>
  <c r="AD259" i="13"/>
  <c r="AE259" i="13" s="1"/>
  <c r="AE276" i="13" s="1"/>
  <c r="AC293" i="13"/>
  <c r="AD293" i="13" s="1"/>
  <c r="AE293" i="13" s="1"/>
  <c r="AF293" i="13" s="1"/>
  <c r="AG293" i="13" s="1"/>
  <c r="AA208" i="13"/>
  <c r="AB208" i="13" s="1"/>
  <c r="AB259" i="13"/>
  <c r="X276" i="13"/>
  <c r="AB276" i="13" s="1"/>
  <c r="N278" i="13"/>
  <c r="W220" i="12"/>
  <c r="X220" i="12" s="1"/>
  <c r="Y220" i="12" s="1"/>
  <c r="Z220" i="12" s="1"/>
  <c r="S233" i="12"/>
  <c r="AD265" i="13"/>
  <c r="AE265" i="13" s="1"/>
  <c r="AE282" i="13" s="1"/>
  <c r="AB265" i="13"/>
  <c r="AC208" i="13"/>
  <c r="AD208" i="13" s="1"/>
  <c r="AE208" i="13" s="1"/>
  <c r="AE225" i="13" s="1"/>
  <c r="Z208" i="13"/>
  <c r="Q227" i="13"/>
  <c r="N227" i="13"/>
  <c r="Q225" i="13"/>
  <c r="N225" i="13"/>
  <c r="Y210" i="13"/>
  <c r="Z210" i="13" s="1"/>
  <c r="AF193" i="13"/>
  <c r="AG193" i="13" s="1"/>
  <c r="AF177" i="13"/>
  <c r="AG177" i="13" s="1"/>
  <c r="AF191" i="13"/>
  <c r="AG191" i="13" s="1"/>
  <c r="AG151" i="13"/>
  <c r="AH151" i="13" s="1"/>
  <c r="AJ151" i="13" s="1"/>
  <c r="AM151" i="13" s="1"/>
  <c r="AH179" i="13"/>
  <c r="AH175" i="13"/>
  <c r="AN175" i="13" s="1"/>
  <c r="AO175" i="13" s="1"/>
  <c r="AP175" i="13" s="1"/>
  <c r="AD147" i="13"/>
  <c r="AE147" i="13" s="1"/>
  <c r="AG133" i="13"/>
  <c r="AH133" i="13" s="1"/>
  <c r="AJ133" i="13" s="1"/>
  <c r="AM133" i="13" s="1"/>
  <c r="AF124" i="13"/>
  <c r="AJ113" i="13"/>
  <c r="T124" i="13"/>
  <c r="U124" i="13" s="1"/>
  <c r="AH113" i="13"/>
  <c r="AI113" i="13" s="1"/>
  <c r="Y85" i="13"/>
  <c r="Z85" i="13" s="1"/>
  <c r="AC83" i="13"/>
  <c r="AD83" i="13" s="1"/>
  <c r="AE83" i="13" s="1"/>
  <c r="AF89" i="13"/>
  <c r="AH89" i="13" s="1"/>
  <c r="AI89" i="13" s="1"/>
  <c r="AF76" i="13"/>
  <c r="AJ65" i="13"/>
  <c r="T76" i="13"/>
  <c r="U76" i="13" s="1"/>
  <c r="AH65" i="13"/>
  <c r="AI65" i="13" s="1"/>
  <c r="AJ41" i="13"/>
  <c r="T52" i="13"/>
  <c r="U52" i="13" s="1"/>
  <c r="AF52" i="13"/>
  <c r="AH41" i="13"/>
  <c r="AI41" i="13" s="1"/>
  <c r="L22" i="13"/>
  <c r="Q22" i="13" s="1"/>
  <c r="AE28" i="13"/>
  <c r="AB17" i="13"/>
  <c r="X28" i="13"/>
  <c r="AB28" i="13" s="1"/>
  <c r="W53" i="12"/>
  <c r="X53" i="12" s="1"/>
  <c r="Y53" i="12" s="1"/>
  <c r="AC53" i="12" s="1"/>
  <c r="W264" i="12"/>
  <c r="X264" i="12" s="1"/>
  <c r="Y264" i="12" s="1"/>
  <c r="AC264" i="12" s="1"/>
  <c r="AD264" i="12" s="1"/>
  <c r="AE264" i="12" s="1"/>
  <c r="AE277" i="12" s="1"/>
  <c r="J277" i="12"/>
  <c r="K277" i="12" s="1"/>
  <c r="L277" i="12" s="1"/>
  <c r="Q277" i="12" s="1"/>
  <c r="AC137" i="13"/>
  <c r="AD137" i="13" s="1"/>
  <c r="AE137" i="13" s="1"/>
  <c r="X248" i="12"/>
  <c r="AB248" i="12" s="1"/>
  <c r="AF248" i="12" s="1"/>
  <c r="AG248" i="12" s="1"/>
  <c r="AH248" i="12" s="1"/>
  <c r="AK252" i="12" s="1"/>
  <c r="AL252" i="12" s="1"/>
  <c r="J60" i="12"/>
  <c r="K60" i="12" s="1"/>
  <c r="L60" i="12" s="1"/>
  <c r="Q60" i="12" s="1"/>
  <c r="W248" i="12"/>
  <c r="N96" i="13"/>
  <c r="U13" i="12"/>
  <c r="W33" i="12"/>
  <c r="X33" i="12" s="1"/>
  <c r="Y33" i="12" s="1"/>
  <c r="Z33" i="12" s="1"/>
  <c r="J64" i="12"/>
  <c r="K64" i="12" s="1"/>
  <c r="L64" i="12" s="1"/>
  <c r="Q64" i="12" s="1"/>
  <c r="W55" i="12"/>
  <c r="X55" i="12" s="1"/>
  <c r="Y55" i="12" s="1"/>
  <c r="AA55" i="12" s="1"/>
  <c r="X64" i="12" s="1"/>
  <c r="AB64" i="12" s="1"/>
  <c r="J42" i="12"/>
  <c r="K42" i="12" s="1"/>
  <c r="L42" i="12" s="1"/>
  <c r="Q42" i="12" s="1"/>
  <c r="X135" i="13"/>
  <c r="AB135" i="13" s="1"/>
  <c r="AF135" i="13" s="1"/>
  <c r="AA83" i="13"/>
  <c r="L118" i="13"/>
  <c r="Q118" i="13" s="1"/>
  <c r="J74" i="13"/>
  <c r="K74" i="13" s="1"/>
  <c r="W63" i="13"/>
  <c r="X63" i="13" s="1"/>
  <c r="J233" i="12"/>
  <c r="K233" i="12" s="1"/>
  <c r="L233" i="12" s="1"/>
  <c r="N233" i="12" s="1"/>
  <c r="W262" i="12"/>
  <c r="X262" i="12" s="1"/>
  <c r="Y262" i="12" s="1"/>
  <c r="Z262" i="12" s="1"/>
  <c r="Y206" i="13"/>
  <c r="Z218" i="13" s="1"/>
  <c r="J48" i="13"/>
  <c r="K48" i="13" s="1"/>
  <c r="W37" i="13"/>
  <c r="X37" i="13" s="1"/>
  <c r="J275" i="12"/>
  <c r="K275" i="12" s="1"/>
  <c r="L275" i="12" s="1"/>
  <c r="Q275" i="12" s="1"/>
  <c r="L122" i="13"/>
  <c r="Q122" i="13" s="1"/>
  <c r="Y109" i="13"/>
  <c r="AC109" i="13" s="1"/>
  <c r="AD109" i="13" s="1"/>
  <c r="AE109" i="13" s="1"/>
  <c r="L120" i="13"/>
  <c r="Q50" i="13"/>
  <c r="AC149" i="13"/>
  <c r="AD149" i="13" s="1"/>
  <c r="AE149" i="13" s="1"/>
  <c r="X15" i="13"/>
  <c r="L98" i="13"/>
  <c r="Q98" i="13" s="1"/>
  <c r="L94" i="13"/>
  <c r="Q94" i="13" s="1"/>
  <c r="Y107" i="13"/>
  <c r="Q26" i="13"/>
  <c r="AA263" i="13"/>
  <c r="J40" i="12"/>
  <c r="K40" i="12" s="1"/>
  <c r="L40" i="12" s="1"/>
  <c r="N40" i="12" s="1"/>
  <c r="J72" i="13"/>
  <c r="K72" i="13" s="1"/>
  <c r="W61" i="13"/>
  <c r="X61" i="13" s="1"/>
  <c r="Y39" i="13"/>
  <c r="Z39" i="13" s="1"/>
  <c r="U11" i="12"/>
  <c r="S20" i="12" s="1"/>
  <c r="W51" i="12"/>
  <c r="X51" i="12" s="1"/>
  <c r="Y51" i="12" s="1"/>
  <c r="Z51" i="12" s="1"/>
  <c r="J24" i="13"/>
  <c r="K24" i="13" s="1"/>
  <c r="L24" i="13" s="1"/>
  <c r="V11" i="13"/>
  <c r="W13" i="13"/>
  <c r="X13" i="13" s="1"/>
  <c r="X149" i="13"/>
  <c r="AB149" i="13" s="1"/>
  <c r="J70" i="13"/>
  <c r="K70" i="13" s="1"/>
  <c r="W59" i="13"/>
  <c r="X59" i="13" s="1"/>
  <c r="W35" i="13"/>
  <c r="X35" i="13" s="1"/>
  <c r="X137" i="13"/>
  <c r="AB137" i="13" s="1"/>
  <c r="Y87" i="13"/>
  <c r="AC87" i="13" s="1"/>
  <c r="AD87" i="13" s="1"/>
  <c r="AE87" i="13" s="1"/>
  <c r="Y111" i="13"/>
  <c r="AC111" i="13" s="1"/>
  <c r="AD111" i="13" s="1"/>
  <c r="AE111" i="13" s="1"/>
  <c r="AB95" i="12"/>
  <c r="AF95" i="12" s="1"/>
  <c r="AF104" i="12" s="1"/>
  <c r="N235" i="12"/>
  <c r="Q235" i="12"/>
  <c r="AB71" i="12"/>
  <c r="AF71" i="12" s="1"/>
  <c r="AD222" i="12"/>
  <c r="AE222" i="12" s="1"/>
  <c r="AE235" i="12" s="1"/>
  <c r="AA222" i="12"/>
  <c r="AB222" i="12" s="1"/>
  <c r="AA75" i="12"/>
  <c r="X84" i="12" s="1"/>
  <c r="AB84" i="12" s="1"/>
  <c r="N84" i="12"/>
  <c r="Z75" i="12"/>
  <c r="J24" i="12"/>
  <c r="K24" i="12" s="1"/>
  <c r="W15" i="12"/>
  <c r="X15" i="12" s="1"/>
  <c r="Z222" i="12"/>
  <c r="W290" i="12"/>
  <c r="F89" i="1"/>
  <c r="Z348" i="12"/>
  <c r="AA344" i="12"/>
  <c r="X357" i="12" s="1"/>
  <c r="AB357" i="12" s="1"/>
  <c r="Q359" i="12"/>
  <c r="Z354" i="12"/>
  <c r="AA354" i="12" s="1"/>
  <c r="Y346" i="12"/>
  <c r="Z355" i="12" s="1"/>
  <c r="AC344" i="12"/>
  <c r="X260" i="12"/>
  <c r="F109" i="1"/>
  <c r="W332" i="12"/>
  <c r="AH332" i="12"/>
  <c r="AK336" i="12" s="1"/>
  <c r="AL336" i="12" s="1"/>
  <c r="AB306" i="12"/>
  <c r="AF306" i="12" s="1"/>
  <c r="X319" i="12"/>
  <c r="AB319" i="12" s="1"/>
  <c r="N317" i="12"/>
  <c r="Q319" i="12"/>
  <c r="AC304" i="12"/>
  <c r="AA304" i="12"/>
  <c r="X317" i="12" s="1"/>
  <c r="AB317" i="12" s="1"/>
  <c r="Y302" i="12"/>
  <c r="Z302" i="12" s="1"/>
  <c r="Z304" i="12"/>
  <c r="Q273" i="12"/>
  <c r="Q231" i="12"/>
  <c r="AF153" i="12"/>
  <c r="AG153" i="12" s="1"/>
  <c r="AH153" i="12" s="1"/>
  <c r="AJ163" i="12"/>
  <c r="AM163" i="12" s="1"/>
  <c r="AQ163" i="12" s="1"/>
  <c r="AR163" i="12" s="1"/>
  <c r="Y218" i="12"/>
  <c r="AC218" i="12" s="1"/>
  <c r="AF129" i="12"/>
  <c r="AG129" i="12" s="1"/>
  <c r="AF161" i="12"/>
  <c r="AG161" i="12" s="1"/>
  <c r="AH151" i="12"/>
  <c r="AN151" i="12" s="1"/>
  <c r="AO151" i="12" s="1"/>
  <c r="AP151" i="12" s="1"/>
  <c r="AH149" i="12"/>
  <c r="AJ149" i="12" s="1"/>
  <c r="AM149" i="12" s="1"/>
  <c r="AN139" i="12"/>
  <c r="AO139" i="12" s="1"/>
  <c r="AP139" i="12" s="1"/>
  <c r="AQ139" i="12" s="1"/>
  <c r="AR139" i="12" s="1"/>
  <c r="AH141" i="12"/>
  <c r="AJ141" i="12" s="1"/>
  <c r="AM141" i="12" s="1"/>
  <c r="AH137" i="12"/>
  <c r="AJ137" i="12" s="1"/>
  <c r="AM137" i="12" s="1"/>
  <c r="AH125" i="12"/>
  <c r="AJ125" i="12" s="1"/>
  <c r="AM125" i="12" s="1"/>
  <c r="AF113" i="12"/>
  <c r="AG113" i="12" s="1"/>
  <c r="AH113" i="12" s="1"/>
  <c r="AH127" i="12"/>
  <c r="AN127" i="12" s="1"/>
  <c r="AO127" i="12" s="1"/>
  <c r="AP127" i="12" s="1"/>
  <c r="Y91" i="12"/>
  <c r="Z73" i="12"/>
  <c r="AC73" i="12"/>
  <c r="AD73" i="12" s="1"/>
  <c r="AE73" i="12" s="1"/>
  <c r="H19" i="1"/>
  <c r="I19" i="1" s="1"/>
  <c r="J19" i="1" s="1"/>
  <c r="K19" i="1" s="1"/>
  <c r="L19" i="1" s="1"/>
  <c r="M19" i="1" s="1"/>
  <c r="Y180" i="12"/>
  <c r="Z187" i="12" s="1"/>
  <c r="AA187" i="12" s="1"/>
  <c r="F94" i="1"/>
  <c r="W206" i="12"/>
  <c r="W204" i="12"/>
  <c r="L193" i="12"/>
  <c r="N193" i="12" s="1"/>
  <c r="AH117" i="12"/>
  <c r="AN117" i="12" s="1"/>
  <c r="AO117" i="12" s="1"/>
  <c r="AP117" i="12" s="1"/>
  <c r="AA73" i="12"/>
  <c r="AB73" i="12" s="1"/>
  <c r="N82" i="12"/>
  <c r="N80" i="12"/>
  <c r="AB93" i="12"/>
  <c r="Z186" i="2"/>
  <c r="AA186" i="2" s="1"/>
  <c r="AC180" i="2"/>
  <c r="AD180" i="2" s="1"/>
  <c r="AE180" i="2" s="1"/>
  <c r="AE189" i="2" s="1"/>
  <c r="Z180" i="2"/>
  <c r="W178" i="12"/>
  <c r="AC93" i="12"/>
  <c r="AD93" i="12" s="1"/>
  <c r="AA180" i="2"/>
  <c r="X189" i="2" s="1"/>
  <c r="AB189" i="2" s="1"/>
  <c r="Z209" i="12"/>
  <c r="AA209" i="12" s="1"/>
  <c r="V178" i="12"/>
  <c r="AA250" i="2"/>
  <c r="AC262" i="2"/>
  <c r="AD262" i="2" s="1"/>
  <c r="AE262" i="2" s="1"/>
  <c r="AF262" i="2" s="1"/>
  <c r="AG262" i="2" s="1"/>
  <c r="AH262" i="2" s="1"/>
  <c r="AK265" i="2" s="1"/>
  <c r="AL265" i="2" s="1"/>
  <c r="AD212" i="2"/>
  <c r="AE212" i="2" s="1"/>
  <c r="AE221" i="2" s="1"/>
  <c r="AB244" i="2"/>
  <c r="AF244" i="2" s="1"/>
  <c r="AF253" i="2" s="1"/>
  <c r="AB212" i="2"/>
  <c r="Y59" i="2"/>
  <c r="AC59" i="2" s="1"/>
  <c r="AD59" i="2" s="1"/>
  <c r="AE59" i="2" s="1"/>
  <c r="AC75" i="2"/>
  <c r="Y210" i="2"/>
  <c r="AA210" i="2" s="1"/>
  <c r="AB210" i="2" s="1"/>
  <c r="Y178" i="2"/>
  <c r="AC178" i="2" s="1"/>
  <c r="AD178" i="2" s="1"/>
  <c r="AE178" i="2" s="1"/>
  <c r="Y27" i="2"/>
  <c r="AA27" i="2" s="1"/>
  <c r="Y77" i="2"/>
  <c r="AA77" i="2" s="1"/>
  <c r="X285" i="2"/>
  <c r="AB285" i="2" s="1"/>
  <c r="AB276" i="2"/>
  <c r="Y242" i="2"/>
  <c r="AC242" i="2" s="1"/>
  <c r="AC260" i="2" s="1"/>
  <c r="AD260" i="2" s="1"/>
  <c r="AE260" i="2" s="1"/>
  <c r="AF260" i="2" s="1"/>
  <c r="AG260" i="2" s="1"/>
  <c r="AH260" i="2" s="1"/>
  <c r="AD276" i="2"/>
  <c r="AE276" i="2" s="1"/>
  <c r="AC294" i="2"/>
  <c r="AD294" i="2" s="1"/>
  <c r="AE294" i="2" s="1"/>
  <c r="AF294" i="2" s="1"/>
  <c r="AG294" i="2" s="1"/>
  <c r="Y13" i="2"/>
  <c r="Y61" i="2"/>
  <c r="Z61" i="2" s="1"/>
  <c r="Y45" i="2"/>
  <c r="AA45" i="2" s="1"/>
  <c r="Y43" i="2"/>
  <c r="AA43" i="2" s="1"/>
  <c r="AB43" i="2" s="1"/>
  <c r="Y274" i="2"/>
  <c r="AC274" i="2" s="1"/>
  <c r="Y29" i="2"/>
  <c r="AA29" i="2" s="1"/>
  <c r="T148" i="2"/>
  <c r="V148" i="2" s="1"/>
  <c r="L34" i="2"/>
  <c r="Q34" i="2" s="1"/>
  <c r="L219" i="2"/>
  <c r="Q219" i="2" s="1"/>
  <c r="L36" i="2"/>
  <c r="Q36" i="2" s="1"/>
  <c r="L66" i="2"/>
  <c r="N66" i="2" s="1"/>
  <c r="L251" i="2"/>
  <c r="Q251" i="2" s="1"/>
  <c r="R157" i="2"/>
  <c r="U148" i="2"/>
  <c r="S157" i="2" s="1"/>
  <c r="N50" i="2"/>
  <c r="W262" i="2"/>
  <c r="W230" i="2"/>
  <c r="W294" i="2"/>
  <c r="W166" i="2"/>
  <c r="W164" i="2"/>
  <c r="L20" i="2"/>
  <c r="N20" i="2" s="1"/>
  <c r="L68" i="2"/>
  <c r="N68" i="2" s="1"/>
  <c r="L283" i="2"/>
  <c r="Q283" i="2" s="1"/>
  <c r="L187" i="2"/>
  <c r="Q187" i="2" s="1"/>
  <c r="AH230" i="2"/>
  <c r="AJ230" i="2" s="1"/>
  <c r="L52" i="2"/>
  <c r="N52" i="2" s="1"/>
  <c r="L84" i="2"/>
  <c r="Q84" i="2" s="1"/>
  <c r="X166" i="2"/>
  <c r="AB166" i="2" s="1"/>
  <c r="Z168" i="2"/>
  <c r="AA168" i="2" s="1"/>
  <c r="AD263" i="13" l="1"/>
  <c r="AE263" i="13" s="1"/>
  <c r="AE280" i="13" s="1"/>
  <c r="AC295" i="13"/>
  <c r="AD295" i="13" s="1"/>
  <c r="AE295" i="13" s="1"/>
  <c r="AF295" i="13" s="1"/>
  <c r="AG295" i="13" s="1"/>
  <c r="AH295" i="13" s="1"/>
  <c r="AI295" i="13" s="1"/>
  <c r="Y367" i="13"/>
  <c r="Z367" i="13" s="1"/>
  <c r="N62" i="12"/>
  <c r="G89" i="1"/>
  <c r="Z421" i="13"/>
  <c r="W438" i="13"/>
  <c r="BF432" i="13"/>
  <c r="BG415" i="13"/>
  <c r="G114" i="1"/>
  <c r="W455" i="13"/>
  <c r="BE449" i="13"/>
  <c r="G109" i="1"/>
  <c r="W403" i="13"/>
  <c r="BE397" i="13"/>
  <c r="G104" i="1"/>
  <c r="W351" i="13"/>
  <c r="BE345" i="13"/>
  <c r="AJ374" i="12"/>
  <c r="AM374" i="12" s="1"/>
  <c r="AC31" i="12"/>
  <c r="AD31" i="12" s="1"/>
  <c r="AE31" i="12" s="1"/>
  <c r="AE40" i="12" s="1"/>
  <c r="AA31" i="12"/>
  <c r="AB31" i="12" s="1"/>
  <c r="AF348" i="12"/>
  <c r="Q384" i="13"/>
  <c r="AI374" i="12"/>
  <c r="AH453" i="13"/>
  <c r="AI453" i="13" s="1"/>
  <c r="T80" i="12"/>
  <c r="U80" i="12" s="1"/>
  <c r="V80" i="12" s="1"/>
  <c r="AC80" i="12" s="1"/>
  <c r="AF80" i="12"/>
  <c r="J22" i="12"/>
  <c r="K22" i="12" s="1"/>
  <c r="L22" i="12" s="1"/>
  <c r="N22" i="12" s="1"/>
  <c r="S22" i="12"/>
  <c r="AJ299" i="13"/>
  <c r="AM299" i="13" s="1"/>
  <c r="AC367" i="13"/>
  <c r="AD367" i="13" s="1"/>
  <c r="AE367" i="13" s="1"/>
  <c r="AE384" i="13" s="1"/>
  <c r="Z378" i="13"/>
  <c r="AA378" i="13" s="1"/>
  <c r="G77" i="1"/>
  <c r="H77" i="1" s="1"/>
  <c r="I77" i="1" s="1"/>
  <c r="J77" i="1" s="1"/>
  <c r="K77" i="1" s="1"/>
  <c r="L77" i="1" s="1"/>
  <c r="M77" i="1" s="1"/>
  <c r="Z265" i="13"/>
  <c r="G94" i="1"/>
  <c r="W246" i="13"/>
  <c r="G73" i="1"/>
  <c r="Z212" i="13"/>
  <c r="W229" i="13"/>
  <c r="AM419" i="13"/>
  <c r="AK436" i="13"/>
  <c r="AM436" i="13" s="1"/>
  <c r="AA417" i="13"/>
  <c r="X434" i="13" s="1"/>
  <c r="AB434" i="13" s="1"/>
  <c r="AC417" i="13"/>
  <c r="Z429" i="13"/>
  <c r="AJ419" i="13"/>
  <c r="AN419" i="13" s="1"/>
  <c r="T436" i="13"/>
  <c r="U436" i="13" s="1"/>
  <c r="AF436" i="13"/>
  <c r="AC365" i="13"/>
  <c r="AD365" i="13" s="1"/>
  <c r="AE365" i="13" s="1"/>
  <c r="AE382" i="13" s="1"/>
  <c r="Z377" i="13"/>
  <c r="AA377" i="13" s="1"/>
  <c r="Q382" i="13"/>
  <c r="AK304" i="13"/>
  <c r="AL304" i="13" s="1"/>
  <c r="X225" i="13"/>
  <c r="AB225" i="13" s="1"/>
  <c r="AF259" i="13"/>
  <c r="T276" i="13" s="1"/>
  <c r="U276" i="13" s="1"/>
  <c r="AH297" i="13"/>
  <c r="AK303" i="13" s="1"/>
  <c r="AL303" i="13" s="1"/>
  <c r="AH293" i="13"/>
  <c r="AK301" i="13" s="1"/>
  <c r="AL301" i="13" s="1"/>
  <c r="AB263" i="13"/>
  <c r="X280" i="13"/>
  <c r="AB280" i="13" s="1"/>
  <c r="AH306" i="12"/>
  <c r="AI306" i="12" s="1"/>
  <c r="AF319" i="12"/>
  <c r="AF265" i="13"/>
  <c r="AC242" i="13"/>
  <c r="AD242" i="13" s="1"/>
  <c r="AE242" i="13" s="1"/>
  <c r="AF242" i="13" s="1"/>
  <c r="AG242" i="13" s="1"/>
  <c r="AH242" i="13" s="1"/>
  <c r="AF208" i="13"/>
  <c r="T225" i="13" s="1"/>
  <c r="U225" i="13" s="1"/>
  <c r="AA218" i="13"/>
  <c r="Z220" i="13"/>
  <c r="AA220" i="13" s="1"/>
  <c r="AA210" i="13"/>
  <c r="AC210" i="13"/>
  <c r="AD210" i="13" s="1"/>
  <c r="AE210" i="13" s="1"/>
  <c r="AE227" i="13" s="1"/>
  <c r="Z206" i="13"/>
  <c r="AC206" i="13"/>
  <c r="AA206" i="13"/>
  <c r="AN179" i="13"/>
  <c r="AO179" i="13" s="1"/>
  <c r="AP179" i="13" s="1"/>
  <c r="AH193" i="13"/>
  <c r="AH191" i="13"/>
  <c r="AH177" i="13"/>
  <c r="AJ175" i="13"/>
  <c r="AM175" i="13" s="1"/>
  <c r="AK41" i="13"/>
  <c r="AA85" i="13"/>
  <c r="AB85" i="13" s="1"/>
  <c r="AC85" i="13"/>
  <c r="AD85" i="13" s="1"/>
  <c r="AE85" i="13" s="1"/>
  <c r="AE96" i="13" s="1"/>
  <c r="AF147" i="13"/>
  <c r="AG147" i="13" s="1"/>
  <c r="AH147" i="13" s="1"/>
  <c r="AF149" i="13"/>
  <c r="AG149" i="13" s="1"/>
  <c r="AN151" i="13"/>
  <c r="AO151" i="13" s="1"/>
  <c r="AP151" i="13" s="1"/>
  <c r="AF137" i="13"/>
  <c r="AG137" i="13" s="1"/>
  <c r="AN133" i="13"/>
  <c r="AO133" i="13" s="1"/>
  <c r="AP133" i="13" s="1"/>
  <c r="AN113" i="13"/>
  <c r="AO113" i="13" s="1"/>
  <c r="AP113" i="13" s="1"/>
  <c r="AL113" i="13"/>
  <c r="AA107" i="13"/>
  <c r="X118" i="13" s="1"/>
  <c r="AB118" i="13" s="1"/>
  <c r="V124" i="13"/>
  <c r="AL89" i="13"/>
  <c r="AE94" i="13"/>
  <c r="X94" i="13"/>
  <c r="AB94" i="13" s="1"/>
  <c r="AB83" i="13"/>
  <c r="AF83" i="13" s="1"/>
  <c r="AF100" i="13"/>
  <c r="T100" i="13"/>
  <c r="U100" i="13" s="1"/>
  <c r="AJ89" i="13"/>
  <c r="AK89" i="13" s="1"/>
  <c r="Z87" i="13"/>
  <c r="AL65" i="13"/>
  <c r="AK65" i="13"/>
  <c r="AN65" i="13"/>
  <c r="AO65" i="13" s="1"/>
  <c r="AP65" i="13" s="1"/>
  <c r="V76" i="13"/>
  <c r="AC76" i="13" s="1"/>
  <c r="Y63" i="13"/>
  <c r="Z63" i="13" s="1"/>
  <c r="L70" i="13"/>
  <c r="Q70" i="13" s="1"/>
  <c r="AL41" i="13"/>
  <c r="V52" i="13"/>
  <c r="AC52" i="13" s="1"/>
  <c r="AN41" i="13"/>
  <c r="AO41" i="13" s="1"/>
  <c r="AP41" i="13" s="1"/>
  <c r="AP52" i="13" s="1"/>
  <c r="Y37" i="13"/>
  <c r="Z37" i="13" s="1"/>
  <c r="AF17" i="13"/>
  <c r="W11" i="12"/>
  <c r="X11" i="12" s="1"/>
  <c r="Y11" i="12" s="1"/>
  <c r="AA11" i="12" s="1"/>
  <c r="AB11" i="12" s="1"/>
  <c r="N277" i="12"/>
  <c r="AC290" i="12"/>
  <c r="AD290" i="12" s="1"/>
  <c r="AE290" i="12" s="1"/>
  <c r="AF290" i="12" s="1"/>
  <c r="AG290" i="12" s="1"/>
  <c r="AH290" i="12" s="1"/>
  <c r="AK294" i="12" s="1"/>
  <c r="AL294" i="12" s="1"/>
  <c r="J20" i="12"/>
  <c r="K20" i="12" s="1"/>
  <c r="L20" i="12" s="1"/>
  <c r="Q20" i="12" s="1"/>
  <c r="N64" i="12"/>
  <c r="N42" i="12"/>
  <c r="N60" i="12"/>
  <c r="W13" i="12"/>
  <c r="X13" i="12" s="1"/>
  <c r="Y13" i="12" s="1"/>
  <c r="Z13" i="12" s="1"/>
  <c r="AB55" i="12"/>
  <c r="AA51" i="12"/>
  <c r="AB51" i="12" s="1"/>
  <c r="Z55" i="12"/>
  <c r="N275" i="12"/>
  <c r="AC55" i="12"/>
  <c r="AD55" i="12" s="1"/>
  <c r="AE55" i="12" s="1"/>
  <c r="AE64" i="12" s="1"/>
  <c r="AA261" i="13"/>
  <c r="X278" i="13" s="1"/>
  <c r="AB278" i="13" s="1"/>
  <c r="Y13" i="13"/>
  <c r="AA13" i="13" s="1"/>
  <c r="AJ179" i="13"/>
  <c r="AM179" i="13" s="1"/>
  <c r="N94" i="13"/>
  <c r="Q120" i="13"/>
  <c r="AE98" i="13"/>
  <c r="L46" i="13"/>
  <c r="AE122" i="13"/>
  <c r="Z264" i="12"/>
  <c r="AA111" i="13"/>
  <c r="AA327" i="13"/>
  <c r="Y35" i="13"/>
  <c r="Z35" i="13" s="1"/>
  <c r="Y59" i="13"/>
  <c r="Z59" i="13" s="1"/>
  <c r="AC39" i="13"/>
  <c r="AD39" i="13" s="1"/>
  <c r="AE39" i="13" s="1"/>
  <c r="AE120" i="13"/>
  <c r="L48" i="13"/>
  <c r="N48" i="13" s="1"/>
  <c r="L74" i="13"/>
  <c r="Q74" i="13" s="1"/>
  <c r="AA264" i="12"/>
  <c r="X277" i="12" s="1"/>
  <c r="AB277" i="12" s="1"/>
  <c r="W11" i="13"/>
  <c r="X11" i="13" s="1"/>
  <c r="Y61" i="13"/>
  <c r="Z61" i="13" s="1"/>
  <c r="AC107" i="13"/>
  <c r="AA109" i="13"/>
  <c r="L72" i="13"/>
  <c r="Q72" i="13" s="1"/>
  <c r="AA87" i="13"/>
  <c r="AC51" i="12"/>
  <c r="AD51" i="12" s="1"/>
  <c r="AE51" i="12" s="1"/>
  <c r="AE60" i="12" s="1"/>
  <c r="AH129" i="12"/>
  <c r="AJ129" i="12" s="1"/>
  <c r="AM129" i="12" s="1"/>
  <c r="Z273" i="12"/>
  <c r="AA273" i="12" s="1"/>
  <c r="Y260" i="12"/>
  <c r="Z271" i="12" s="1"/>
  <c r="AA271" i="12" s="1"/>
  <c r="N330" i="13"/>
  <c r="Q24" i="13"/>
  <c r="AA39" i="13"/>
  <c r="N26" i="13"/>
  <c r="AA365" i="13"/>
  <c r="N98" i="13"/>
  <c r="Y15" i="13"/>
  <c r="Z15" i="13" s="1"/>
  <c r="AB344" i="12"/>
  <c r="AA35" i="12"/>
  <c r="X44" i="12" s="1"/>
  <c r="AB44" i="12" s="1"/>
  <c r="AJ71" i="12"/>
  <c r="X235" i="12"/>
  <c r="AB235" i="12" s="1"/>
  <c r="AH71" i="12"/>
  <c r="AI71" i="12" s="1"/>
  <c r="AF222" i="12"/>
  <c r="AC35" i="12"/>
  <c r="AD35" i="12" s="1"/>
  <c r="AE35" i="12" s="1"/>
  <c r="AE44" i="12" s="1"/>
  <c r="N44" i="12"/>
  <c r="AB75" i="12"/>
  <c r="AF75" i="12" s="1"/>
  <c r="AF84" i="12" s="1"/>
  <c r="Y15" i="12"/>
  <c r="AC15" i="12" s="1"/>
  <c r="AD15" i="12" s="1"/>
  <c r="AE15" i="12" s="1"/>
  <c r="AE24" i="12" s="1"/>
  <c r="L24" i="12"/>
  <c r="Q24" i="12" s="1"/>
  <c r="Q40" i="12"/>
  <c r="AC262" i="12"/>
  <c r="AC288" i="12" s="1"/>
  <c r="AD288" i="12" s="1"/>
  <c r="AE288" i="12" s="1"/>
  <c r="AA346" i="12"/>
  <c r="AB346" i="12" s="1"/>
  <c r="AA355" i="12"/>
  <c r="AC346" i="12"/>
  <c r="Z346" i="12"/>
  <c r="AC370" i="12"/>
  <c r="AD370" i="12" s="1"/>
  <c r="AE370" i="12" s="1"/>
  <c r="AF370" i="12" s="1"/>
  <c r="AG370" i="12" s="1"/>
  <c r="AD344" i="12"/>
  <c r="AE344" i="12" s="1"/>
  <c r="AI332" i="12"/>
  <c r="AJ332" i="12"/>
  <c r="AM332" i="12" s="1"/>
  <c r="AD304" i="12"/>
  <c r="AE304" i="12" s="1"/>
  <c r="AE317" i="12" s="1"/>
  <c r="AC330" i="12"/>
  <c r="AD330" i="12" s="1"/>
  <c r="AE330" i="12" s="1"/>
  <c r="AF330" i="12" s="1"/>
  <c r="AG330" i="12" s="1"/>
  <c r="AH330" i="12" s="1"/>
  <c r="Z312" i="12"/>
  <c r="AA312" i="12" s="1"/>
  <c r="T319" i="12"/>
  <c r="U319" i="12" s="1"/>
  <c r="AJ306" i="12"/>
  <c r="AK313" i="12" s="1"/>
  <c r="AL313" i="12" s="1"/>
  <c r="AB304" i="12"/>
  <c r="AA302" i="12"/>
  <c r="X315" i="12" s="1"/>
  <c r="AB315" i="12" s="1"/>
  <c r="AC302" i="12"/>
  <c r="AL306" i="12"/>
  <c r="AK319" i="12" s="1"/>
  <c r="AM319" i="12" s="1"/>
  <c r="AA262" i="12"/>
  <c r="AB262" i="12" s="1"/>
  <c r="Z272" i="12"/>
  <c r="AA272" i="12" s="1"/>
  <c r="Z230" i="12"/>
  <c r="AA230" i="12" s="1"/>
  <c r="AD218" i="12"/>
  <c r="AE218" i="12" s="1"/>
  <c r="AE231" i="12" s="1"/>
  <c r="AC244" i="12"/>
  <c r="AD244" i="12" s="1"/>
  <c r="AE244" i="12" s="1"/>
  <c r="AF244" i="12" s="1"/>
  <c r="AG244" i="12" s="1"/>
  <c r="AI248" i="12"/>
  <c r="AJ248" i="12"/>
  <c r="AM248" i="12" s="1"/>
  <c r="Z229" i="12"/>
  <c r="AA229" i="12" s="1"/>
  <c r="Z218" i="12"/>
  <c r="Z228" i="12"/>
  <c r="AA218" i="12"/>
  <c r="AS163" i="12"/>
  <c r="AU163" i="12" s="1"/>
  <c r="AH161" i="12"/>
  <c r="AJ161" i="12" s="1"/>
  <c r="AM161" i="12" s="1"/>
  <c r="AN149" i="12"/>
  <c r="AO149" i="12" s="1"/>
  <c r="AP149" i="12" s="1"/>
  <c r="AQ149" i="12" s="1"/>
  <c r="AR149" i="12" s="1"/>
  <c r="AJ153" i="12"/>
  <c r="AM153" i="12" s="1"/>
  <c r="AJ151" i="12"/>
  <c r="AM151" i="12" s="1"/>
  <c r="AN153" i="12"/>
  <c r="AO153" i="12" s="1"/>
  <c r="AP153" i="12" s="1"/>
  <c r="AN137" i="12"/>
  <c r="AO137" i="12" s="1"/>
  <c r="AP137" i="12" s="1"/>
  <c r="AQ137" i="12" s="1"/>
  <c r="AR137" i="12" s="1"/>
  <c r="AN141" i="12"/>
  <c r="AO141" i="12" s="1"/>
  <c r="AP141" i="12" s="1"/>
  <c r="AQ141" i="12" s="1"/>
  <c r="AR141" i="12" s="1"/>
  <c r="AN125" i="12"/>
  <c r="AO125" i="12" s="1"/>
  <c r="AP125" i="12" s="1"/>
  <c r="AQ125" i="12" s="1"/>
  <c r="AR125" i="12" s="1"/>
  <c r="AS139" i="12"/>
  <c r="AJ127" i="12"/>
  <c r="AM127" i="12" s="1"/>
  <c r="AQ127" i="12" s="1"/>
  <c r="AN113" i="12"/>
  <c r="AO113" i="12" s="1"/>
  <c r="AP113" i="12" s="1"/>
  <c r="AJ113" i="12"/>
  <c r="T104" i="12"/>
  <c r="U104" i="12" s="1"/>
  <c r="AJ95" i="12"/>
  <c r="AH95" i="12"/>
  <c r="AI95" i="12" s="1"/>
  <c r="AA91" i="12"/>
  <c r="AC91" i="12"/>
  <c r="AD91" i="12" s="1"/>
  <c r="AE91" i="12" s="1"/>
  <c r="AE82" i="12"/>
  <c r="AF73" i="12"/>
  <c r="AF82" i="12" s="1"/>
  <c r="Z53" i="12"/>
  <c r="AA53" i="12"/>
  <c r="AB53" i="12" s="1"/>
  <c r="AA33" i="12"/>
  <c r="X42" i="12" s="1"/>
  <c r="AB42" i="12" s="1"/>
  <c r="AC33" i="12"/>
  <c r="AD33" i="12" s="1"/>
  <c r="AE33" i="12" s="1"/>
  <c r="AE42" i="12" s="1"/>
  <c r="AC180" i="12"/>
  <c r="AC206" i="12" s="1"/>
  <c r="AD206" i="12" s="1"/>
  <c r="AE206" i="12" s="1"/>
  <c r="AA180" i="12"/>
  <c r="AB180" i="12" s="1"/>
  <c r="Z180" i="12"/>
  <c r="Q193" i="12"/>
  <c r="X82" i="12"/>
  <c r="AB82" i="12" s="1"/>
  <c r="AE93" i="12"/>
  <c r="AE102" i="12" s="1"/>
  <c r="AJ117" i="12"/>
  <c r="AM117" i="12" s="1"/>
  <c r="X178" i="12"/>
  <c r="AC198" i="2"/>
  <c r="AD198" i="2" s="1"/>
  <c r="AE198" i="2" s="1"/>
  <c r="AF198" i="2" s="1"/>
  <c r="AG198" i="2" s="1"/>
  <c r="AH198" i="2" s="1"/>
  <c r="AJ198" i="2" s="1"/>
  <c r="AC220" i="12"/>
  <c r="AC246" i="12" s="1"/>
  <c r="AD246" i="12" s="1"/>
  <c r="AE246" i="12" s="1"/>
  <c r="AB180" i="2"/>
  <c r="AF180" i="2" s="1"/>
  <c r="AD53" i="12"/>
  <c r="AA220" i="12"/>
  <c r="Q233" i="12"/>
  <c r="AA313" i="12"/>
  <c r="Q191" i="12"/>
  <c r="AI262" i="2"/>
  <c r="AJ262" i="2"/>
  <c r="Z185" i="2"/>
  <c r="Z13" i="2"/>
  <c r="N187" i="2"/>
  <c r="AF212" i="2"/>
  <c r="Z27" i="2"/>
  <c r="AA242" i="2"/>
  <c r="X251" i="2" s="1"/>
  <c r="AB251" i="2" s="1"/>
  <c r="AA59" i="2"/>
  <c r="X66" i="2" s="1"/>
  <c r="AB66" i="2" s="1"/>
  <c r="Z210" i="2"/>
  <c r="AC210" i="2"/>
  <c r="AD210" i="2" s="1"/>
  <c r="AE210" i="2" s="1"/>
  <c r="AE219" i="2" s="1"/>
  <c r="T253" i="2"/>
  <c r="U253" i="2" s="1"/>
  <c r="V253" i="2" s="1"/>
  <c r="V256" i="2" s="1"/>
  <c r="L256" i="2" s="1"/>
  <c r="Z249" i="2"/>
  <c r="AA274" i="2"/>
  <c r="X283" i="2" s="1"/>
  <c r="AB283" i="2" s="1"/>
  <c r="AC29" i="2"/>
  <c r="AD29" i="2" s="1"/>
  <c r="AE29" i="2" s="1"/>
  <c r="AE36" i="2" s="1"/>
  <c r="AC61" i="2"/>
  <c r="AD61" i="2" s="1"/>
  <c r="AE61" i="2" s="1"/>
  <c r="AE68" i="2" s="1"/>
  <c r="Z43" i="2"/>
  <c r="AC43" i="2"/>
  <c r="AD43" i="2" s="1"/>
  <c r="AE43" i="2" s="1"/>
  <c r="AE50" i="2" s="1"/>
  <c r="Z45" i="2"/>
  <c r="AH244" i="2"/>
  <c r="AI244" i="2" s="1"/>
  <c r="Z281" i="2"/>
  <c r="AJ244" i="2"/>
  <c r="Z274" i="2"/>
  <c r="AC45" i="2"/>
  <c r="AD45" i="2" s="1"/>
  <c r="AE45" i="2" s="1"/>
  <c r="AE52" i="2" s="1"/>
  <c r="Z217" i="2"/>
  <c r="AC27" i="2"/>
  <c r="AD27" i="2" s="1"/>
  <c r="AE27" i="2" s="1"/>
  <c r="AE34" i="2" s="1"/>
  <c r="AH294" i="2"/>
  <c r="AK297" i="2" s="1"/>
  <c r="AL297" i="2" s="1"/>
  <c r="AF276" i="2"/>
  <c r="AF285" i="2" s="1"/>
  <c r="AE285" i="2"/>
  <c r="Z178" i="2"/>
  <c r="Z242" i="2"/>
  <c r="Z29" i="2"/>
  <c r="AA61" i="2"/>
  <c r="X68" i="2" s="1"/>
  <c r="AB68" i="2" s="1"/>
  <c r="AA178" i="2"/>
  <c r="X187" i="2" s="1"/>
  <c r="AB187" i="2" s="1"/>
  <c r="AC77" i="2"/>
  <c r="AD77" i="2" s="1"/>
  <c r="AE77" i="2" s="1"/>
  <c r="AE84" i="2" s="1"/>
  <c r="N219" i="2"/>
  <c r="N36" i="2"/>
  <c r="N34" i="2"/>
  <c r="N251" i="2"/>
  <c r="N283" i="2"/>
  <c r="J157" i="2"/>
  <c r="K157" i="2" s="1"/>
  <c r="AB77" i="2"/>
  <c r="X84" i="2"/>
  <c r="AB84" i="2" s="1"/>
  <c r="AD75" i="2"/>
  <c r="AE75" i="2" s="1"/>
  <c r="X52" i="2"/>
  <c r="AB52" i="2" s="1"/>
  <c r="Z59" i="2"/>
  <c r="AI230" i="2"/>
  <c r="X50" i="2"/>
  <c r="AB50" i="2" s="1"/>
  <c r="AI260" i="2"/>
  <c r="AD242" i="2"/>
  <c r="AE242" i="2" s="1"/>
  <c r="X219" i="2"/>
  <c r="AB219" i="2" s="1"/>
  <c r="Q20" i="2"/>
  <c r="Q68" i="2"/>
  <c r="AC196" i="2"/>
  <c r="AD196" i="2" s="1"/>
  <c r="AE196" i="2" s="1"/>
  <c r="AF196" i="2" s="1"/>
  <c r="AG196" i="2" s="1"/>
  <c r="AE187" i="2"/>
  <c r="AD274" i="2"/>
  <c r="AE274" i="2" s="1"/>
  <c r="AC292" i="2"/>
  <c r="AD292" i="2" s="1"/>
  <c r="AE292" i="2" s="1"/>
  <c r="AF292" i="2" s="1"/>
  <c r="AG292" i="2" s="1"/>
  <c r="AJ260" i="2"/>
  <c r="AK264" i="2"/>
  <c r="AL264" i="2" s="1"/>
  <c r="AK233" i="2"/>
  <c r="AL233" i="2" s="1"/>
  <c r="Q66" i="2"/>
  <c r="AE66" i="2"/>
  <c r="Q52" i="2"/>
  <c r="W148" i="2"/>
  <c r="X148" i="2" s="1"/>
  <c r="AF263" i="13" l="1"/>
  <c r="AH263" i="13" s="1"/>
  <c r="AI263" i="13" s="1"/>
  <c r="AL263" i="13" s="1"/>
  <c r="AK459" i="13"/>
  <c r="AL459" i="13" s="1"/>
  <c r="AA367" i="13"/>
  <c r="AH259" i="13"/>
  <c r="AI259" i="13" s="1"/>
  <c r="AL259" i="13" s="1"/>
  <c r="AJ290" i="12"/>
  <c r="AM290" i="12" s="1"/>
  <c r="Q22" i="12"/>
  <c r="AC401" i="13"/>
  <c r="AD401" i="13" s="1"/>
  <c r="AE401" i="13" s="1"/>
  <c r="AF401" i="13" s="1"/>
  <c r="AG401" i="13" s="1"/>
  <c r="AF31" i="12"/>
  <c r="AF40" i="12" s="1"/>
  <c r="H114" i="1"/>
  <c r="AI455" i="13"/>
  <c r="H89" i="1"/>
  <c r="AK421" i="13"/>
  <c r="AJ438" i="13"/>
  <c r="H109" i="1"/>
  <c r="AI403" i="13"/>
  <c r="H104" i="1"/>
  <c r="AI351" i="13"/>
  <c r="X40" i="12"/>
  <c r="AB40" i="12" s="1"/>
  <c r="AJ453" i="13"/>
  <c r="AM453" i="13" s="1"/>
  <c r="AF361" i="12"/>
  <c r="AH348" i="12"/>
  <c r="AI348" i="12" s="1"/>
  <c r="AJ348" i="12"/>
  <c r="T361" i="12"/>
  <c r="U361" i="12" s="1"/>
  <c r="V361" i="12" s="1"/>
  <c r="V365" i="12" s="1"/>
  <c r="L365" i="12" s="1"/>
  <c r="AC11" i="12"/>
  <c r="AD11" i="12" s="1"/>
  <c r="AE11" i="12" s="1"/>
  <c r="AF11" i="12" s="1"/>
  <c r="AF20" i="12" s="1"/>
  <c r="Z11" i="12"/>
  <c r="AB417" i="13"/>
  <c r="AH401" i="13"/>
  <c r="AK407" i="13" s="1"/>
  <c r="AL407" i="13" s="1"/>
  <c r="AD417" i="13"/>
  <c r="AE417" i="13" s="1"/>
  <c r="AE434" i="13" s="1"/>
  <c r="AC451" i="13"/>
  <c r="AD451" i="13" s="1"/>
  <c r="AE451" i="13" s="1"/>
  <c r="AF451" i="13" s="1"/>
  <c r="AG451" i="13" s="1"/>
  <c r="AF276" i="13"/>
  <c r="AJ295" i="13"/>
  <c r="AM295" i="13" s="1"/>
  <c r="AO419" i="13"/>
  <c r="AP419" i="13" s="1"/>
  <c r="AP436" i="13" s="1"/>
  <c r="AN453" i="13"/>
  <c r="AO453" i="13" s="1"/>
  <c r="AP453" i="13" s="1"/>
  <c r="T221" i="2"/>
  <c r="U221" i="2" s="1"/>
  <c r="V221" i="2" s="1"/>
  <c r="V224" i="2" s="1"/>
  <c r="L224" i="2" s="1"/>
  <c r="AF221" i="2"/>
  <c r="T189" i="2"/>
  <c r="U189" i="2" s="1"/>
  <c r="V189" i="2" s="1"/>
  <c r="AC189" i="2" s="1"/>
  <c r="AH189" i="2" s="1"/>
  <c r="AF189" i="2"/>
  <c r="H73" i="1"/>
  <c r="AK212" i="13"/>
  <c r="AJ229" i="13"/>
  <c r="H94" i="1"/>
  <c r="I94" i="1" s="1"/>
  <c r="AI246" i="13"/>
  <c r="AK457" i="13"/>
  <c r="AL457" i="13" s="1"/>
  <c r="AK419" i="13"/>
  <c r="AK429" i="13"/>
  <c r="AL429" i="13" s="1"/>
  <c r="V436" i="13"/>
  <c r="AC436" i="13" s="1"/>
  <c r="AA429" i="13"/>
  <c r="X382" i="13"/>
  <c r="AB382" i="13" s="1"/>
  <c r="AB365" i="13"/>
  <c r="AJ259" i="13"/>
  <c r="AI297" i="13"/>
  <c r="AJ297" i="13"/>
  <c r="AM297" i="13" s="1"/>
  <c r="AK302" i="13"/>
  <c r="AL302" i="13" s="1"/>
  <c r="AJ293" i="13"/>
  <c r="AM293" i="13" s="1"/>
  <c r="AI293" i="13"/>
  <c r="AH265" i="13"/>
  <c r="AI265" i="13" s="1"/>
  <c r="AL265" i="13" s="1"/>
  <c r="AK282" i="13" s="1"/>
  <c r="AM282" i="13" s="1"/>
  <c r="T282" i="13"/>
  <c r="U282" i="13" s="1"/>
  <c r="AF282" i="13"/>
  <c r="V276" i="13"/>
  <c r="W276" i="13" s="1"/>
  <c r="AJ263" i="13"/>
  <c r="T280" i="13"/>
  <c r="U280" i="13" s="1"/>
  <c r="AF280" i="13"/>
  <c r="AH222" i="12"/>
  <c r="AI222" i="12" s="1"/>
  <c r="AL222" i="12" s="1"/>
  <c r="AM222" i="12" s="1"/>
  <c r="AF235" i="12"/>
  <c r="AB261" i="13"/>
  <c r="AJ265" i="13"/>
  <c r="AF225" i="13"/>
  <c r="AJ208" i="13"/>
  <c r="AC244" i="13"/>
  <c r="AD244" i="13" s="1"/>
  <c r="AE244" i="13" s="1"/>
  <c r="AF244" i="13" s="1"/>
  <c r="AG244" i="13" s="1"/>
  <c r="AH244" i="13" s="1"/>
  <c r="AH208" i="13"/>
  <c r="AI208" i="13" s="1"/>
  <c r="AK249" i="13"/>
  <c r="AL249" i="13" s="1"/>
  <c r="AI242" i="13"/>
  <c r="AJ242" i="13"/>
  <c r="AM242" i="13" s="1"/>
  <c r="AD206" i="13"/>
  <c r="AE206" i="13" s="1"/>
  <c r="AE223" i="13" s="1"/>
  <c r="AC240" i="13"/>
  <c r="AD240" i="13" s="1"/>
  <c r="AE240" i="13" s="1"/>
  <c r="AF240" i="13" s="1"/>
  <c r="AG240" i="13" s="1"/>
  <c r="V225" i="13"/>
  <c r="V232" i="13" s="1"/>
  <c r="L232" i="13" s="1"/>
  <c r="AQ179" i="13"/>
  <c r="AR179" i="13" s="1"/>
  <c r="AB206" i="13"/>
  <c r="X223" i="13"/>
  <c r="AB223" i="13" s="1"/>
  <c r="AB210" i="13"/>
  <c r="AF210" i="13" s="1"/>
  <c r="X227" i="13"/>
  <c r="AB227" i="13" s="1"/>
  <c r="AN177" i="13"/>
  <c r="AO177" i="13" s="1"/>
  <c r="AP177" i="13" s="1"/>
  <c r="AJ177" i="13"/>
  <c r="AM177" i="13" s="1"/>
  <c r="AJ193" i="13"/>
  <c r="AM193" i="13" s="1"/>
  <c r="AN191" i="13"/>
  <c r="AO191" i="13" s="1"/>
  <c r="AP191" i="13" s="1"/>
  <c r="AN193" i="13"/>
  <c r="AO193" i="13" s="1"/>
  <c r="AP193" i="13" s="1"/>
  <c r="X96" i="13"/>
  <c r="AB96" i="13" s="1"/>
  <c r="AJ191" i="13"/>
  <c r="AM191" i="13" s="1"/>
  <c r="AF85" i="13"/>
  <c r="AF96" i="13" s="1"/>
  <c r="AQ175" i="13"/>
  <c r="AR175" i="13" s="1"/>
  <c r="AC63" i="13"/>
  <c r="AD63" i="13" s="1"/>
  <c r="AE63" i="13" s="1"/>
  <c r="AE74" i="13" s="1"/>
  <c r="N70" i="13"/>
  <c r="AQ151" i="13"/>
  <c r="AR151" i="13" s="1"/>
  <c r="AQ133" i="13"/>
  <c r="AR133" i="13" s="1"/>
  <c r="AJ147" i="13"/>
  <c r="AM147" i="13" s="1"/>
  <c r="AH149" i="13"/>
  <c r="AN149" i="13" s="1"/>
  <c r="AO149" i="13" s="1"/>
  <c r="AP149" i="13" s="1"/>
  <c r="AN147" i="13"/>
  <c r="AO147" i="13" s="1"/>
  <c r="AP147" i="13" s="1"/>
  <c r="AC124" i="13"/>
  <c r="AP124" i="13"/>
  <c r="AM113" i="13"/>
  <c r="AK124" i="13"/>
  <c r="AM124" i="13" s="1"/>
  <c r="AD107" i="13"/>
  <c r="AE107" i="13" s="1"/>
  <c r="AA63" i="13"/>
  <c r="AB63" i="13" s="1"/>
  <c r="AF94" i="13"/>
  <c r="T94" i="13"/>
  <c r="U94" i="13" s="1"/>
  <c r="V100" i="13"/>
  <c r="AC100" i="13" s="1"/>
  <c r="AN89" i="13"/>
  <c r="AO89" i="13" s="1"/>
  <c r="AP89" i="13" s="1"/>
  <c r="AM89" i="13"/>
  <c r="AK100" i="13"/>
  <c r="AM100" i="13" s="1"/>
  <c r="AP76" i="13"/>
  <c r="AA59" i="13"/>
  <c r="W76" i="13"/>
  <c r="AK76" i="13"/>
  <c r="AM76" i="13" s="1"/>
  <c r="AM65" i="13"/>
  <c r="N72" i="13"/>
  <c r="W52" i="13"/>
  <c r="Q46" i="13"/>
  <c r="N46" i="13"/>
  <c r="AM41" i="13"/>
  <c r="AQ41" i="13" s="1"/>
  <c r="AK52" i="13"/>
  <c r="AM52" i="13" s="1"/>
  <c r="AA35" i="13"/>
  <c r="AC37" i="13"/>
  <c r="AD37" i="13" s="1"/>
  <c r="AE37" i="13" s="1"/>
  <c r="AE48" i="13" s="1"/>
  <c r="AA37" i="13"/>
  <c r="AB37" i="13" s="1"/>
  <c r="AF28" i="13"/>
  <c r="T28" i="13"/>
  <c r="U28" i="13" s="1"/>
  <c r="Z13" i="13"/>
  <c r="AJ17" i="13"/>
  <c r="AH17" i="13"/>
  <c r="AI17" i="13" s="1"/>
  <c r="N20" i="12"/>
  <c r="AA13" i="12"/>
  <c r="AI290" i="12"/>
  <c r="X60" i="12"/>
  <c r="AB60" i="12" s="1"/>
  <c r="AC260" i="12"/>
  <c r="AC286" i="12" s="1"/>
  <c r="AD286" i="12" s="1"/>
  <c r="AE286" i="12" s="1"/>
  <c r="AF286" i="12" s="1"/>
  <c r="AG286" i="12" s="1"/>
  <c r="AH286" i="12" s="1"/>
  <c r="AJ286" i="12" s="1"/>
  <c r="AM286" i="12" s="1"/>
  <c r="AF51" i="12"/>
  <c r="AF60" i="12" s="1"/>
  <c r="N74" i="13"/>
  <c r="AF55" i="12"/>
  <c r="AA260" i="12"/>
  <c r="AB260" i="12" s="1"/>
  <c r="AC13" i="13"/>
  <c r="AD13" i="13" s="1"/>
  <c r="AE13" i="13" s="1"/>
  <c r="AN129" i="12"/>
  <c r="AO129" i="12" s="1"/>
  <c r="AP129" i="12" s="1"/>
  <c r="AQ129" i="12" s="1"/>
  <c r="AR129" i="12" s="1"/>
  <c r="Z260" i="12"/>
  <c r="AB264" i="12"/>
  <c r="AF264" i="12" s="1"/>
  <c r="T277" i="12" s="1"/>
  <c r="U277" i="12" s="1"/>
  <c r="V277" i="12" s="1"/>
  <c r="W277" i="12" s="1"/>
  <c r="N24" i="13"/>
  <c r="AC313" i="13"/>
  <c r="AD313" i="13" s="1"/>
  <c r="AE313" i="13" s="1"/>
  <c r="N332" i="13"/>
  <c r="AC59" i="13"/>
  <c r="AD59" i="13" s="1"/>
  <c r="AE59" i="13" s="1"/>
  <c r="AA328" i="13"/>
  <c r="AB13" i="13"/>
  <c r="X24" i="13"/>
  <c r="AB24" i="13" s="1"/>
  <c r="AC35" i="13"/>
  <c r="AD35" i="13" s="1"/>
  <c r="AE35" i="13" s="1"/>
  <c r="AE46" i="13" s="1"/>
  <c r="N22" i="13"/>
  <c r="AC399" i="13"/>
  <c r="AD399" i="13" s="1"/>
  <c r="AE399" i="13" s="1"/>
  <c r="AF399" i="13" s="1"/>
  <c r="AG399" i="13" s="1"/>
  <c r="AB111" i="13"/>
  <c r="X122" i="13"/>
  <c r="AB122" i="13" s="1"/>
  <c r="AJ83" i="13"/>
  <c r="AA326" i="13"/>
  <c r="AB87" i="13"/>
  <c r="AF87" i="13" s="1"/>
  <c r="AF98" i="13" s="1"/>
  <c r="X98" i="13"/>
  <c r="AB98" i="13" s="1"/>
  <c r="X120" i="13"/>
  <c r="AB120" i="13" s="1"/>
  <c r="AB109" i="13"/>
  <c r="AF109" i="13" s="1"/>
  <c r="AF120" i="13" s="1"/>
  <c r="Y11" i="13"/>
  <c r="Z11" i="13" s="1"/>
  <c r="Q48" i="13"/>
  <c r="AB107" i="13"/>
  <c r="AE50" i="13"/>
  <c r="AA15" i="13"/>
  <c r="AB39" i="13"/>
  <c r="AF39" i="13" s="1"/>
  <c r="AF50" i="13" s="1"/>
  <c r="X50" i="13"/>
  <c r="AB50" i="13" s="1"/>
  <c r="AH137" i="13"/>
  <c r="AA61" i="13"/>
  <c r="AC15" i="13"/>
  <c r="AD15" i="13" s="1"/>
  <c r="AE15" i="13" s="1"/>
  <c r="AH83" i="13"/>
  <c r="AI83" i="13" s="1"/>
  <c r="AC61" i="13"/>
  <c r="AD61" i="13" s="1"/>
  <c r="AE61" i="13" s="1"/>
  <c r="AC315" i="13"/>
  <c r="AD315" i="13" s="1"/>
  <c r="AE315" i="13" s="1"/>
  <c r="AB35" i="12"/>
  <c r="AF35" i="12" s="1"/>
  <c r="AD262" i="12"/>
  <c r="AE262" i="12" s="1"/>
  <c r="AF262" i="12" s="1"/>
  <c r="AK71" i="12"/>
  <c r="AN71" i="12"/>
  <c r="AO71" i="12" s="1"/>
  <c r="AP71" i="12" s="1"/>
  <c r="AP80" i="12" s="1"/>
  <c r="AL71" i="12"/>
  <c r="AJ222" i="12"/>
  <c r="T235" i="12"/>
  <c r="U235" i="12" s="1"/>
  <c r="V235" i="12" s="1"/>
  <c r="AC235" i="12" s="1"/>
  <c r="Z15" i="12"/>
  <c r="N24" i="12"/>
  <c r="AH75" i="12"/>
  <c r="AI75" i="12" s="1"/>
  <c r="T84" i="12"/>
  <c r="U84" i="12" s="1"/>
  <c r="AJ75" i="12"/>
  <c r="AA15" i="12"/>
  <c r="X24" i="12" s="1"/>
  <c r="AB24" i="12" s="1"/>
  <c r="AQ153" i="12"/>
  <c r="AR153" i="12" s="1"/>
  <c r="X359" i="12"/>
  <c r="AB359" i="12" s="1"/>
  <c r="AE357" i="12"/>
  <c r="AF344" i="12"/>
  <c r="AF357" i="12" s="1"/>
  <c r="AD346" i="12"/>
  <c r="AE346" i="12" s="1"/>
  <c r="AC372" i="12"/>
  <c r="AD372" i="12" s="1"/>
  <c r="AE372" i="12" s="1"/>
  <c r="AF372" i="12" s="1"/>
  <c r="AG372" i="12" s="1"/>
  <c r="AH370" i="12"/>
  <c r="AI370" i="12" s="1"/>
  <c r="AF304" i="12"/>
  <c r="AF317" i="12" s="1"/>
  <c r="AI330" i="12"/>
  <c r="AD302" i="12"/>
  <c r="AE302" i="12" s="1"/>
  <c r="AE315" i="12" s="1"/>
  <c r="AC328" i="12"/>
  <c r="AD328" i="12" s="1"/>
  <c r="AE328" i="12" s="1"/>
  <c r="AF328" i="12" s="1"/>
  <c r="AG328" i="12" s="1"/>
  <c r="AB302" i="12"/>
  <c r="X275" i="12"/>
  <c r="AB275" i="12" s="1"/>
  <c r="AK306" i="12"/>
  <c r="V319" i="12"/>
  <c r="V323" i="12" s="1"/>
  <c r="L323" i="12" s="1"/>
  <c r="AN306" i="12"/>
  <c r="AM306" i="12"/>
  <c r="AF288" i="12"/>
  <c r="AG288" i="12" s="1"/>
  <c r="AH244" i="12"/>
  <c r="AI244" i="12" s="1"/>
  <c r="AF246" i="12"/>
  <c r="AG246" i="12" s="1"/>
  <c r="AB218" i="12"/>
  <c r="X231" i="12"/>
  <c r="AB231" i="12" s="1"/>
  <c r="AA228" i="12"/>
  <c r="AN161" i="12"/>
  <c r="AO161" i="12" s="1"/>
  <c r="AP161" i="12" s="1"/>
  <c r="AQ161" i="12" s="1"/>
  <c r="AR161" i="12" s="1"/>
  <c r="AD180" i="12"/>
  <c r="AE180" i="12" s="1"/>
  <c r="AE193" i="12" s="1"/>
  <c r="AS149" i="12"/>
  <c r="AS141" i="12"/>
  <c r="AU141" i="12" s="1"/>
  <c r="AQ151" i="12"/>
  <c r="AR151" i="12" s="1"/>
  <c r="AS137" i="12"/>
  <c r="AU139" i="12"/>
  <c r="AS125" i="12"/>
  <c r="AB91" i="12"/>
  <c r="X100" i="12"/>
  <c r="AB100" i="12" s="1"/>
  <c r="V104" i="12"/>
  <c r="AE100" i="12"/>
  <c r="AN95" i="12"/>
  <c r="AO95" i="12" s="1"/>
  <c r="AP95" i="12" s="1"/>
  <c r="AL95" i="12"/>
  <c r="AF93" i="12"/>
  <c r="AF102" i="12" s="1"/>
  <c r="AB33" i="12"/>
  <c r="AF33" i="12" s="1"/>
  <c r="AF42" i="12" s="1"/>
  <c r="X193" i="12"/>
  <c r="AB193" i="12" s="1"/>
  <c r="AF206" i="12"/>
  <c r="AG206" i="12" s="1"/>
  <c r="Y178" i="12"/>
  <c r="Z178" i="12" s="1"/>
  <c r="AE53" i="12"/>
  <c r="AH180" i="2"/>
  <c r="AI180" i="2" s="1"/>
  <c r="AL180" i="2" s="1"/>
  <c r="AK189" i="2" s="1"/>
  <c r="AQ117" i="12"/>
  <c r="AR117" i="12" s="1"/>
  <c r="AD220" i="12"/>
  <c r="AE220" i="12" s="1"/>
  <c r="AK201" i="2"/>
  <c r="AL201" i="2" s="1"/>
  <c r="AI198" i="2"/>
  <c r="AJ180" i="2"/>
  <c r="AJ330" i="12"/>
  <c r="AM330" i="12" s="1"/>
  <c r="X62" i="12"/>
  <c r="AB62" i="12" s="1"/>
  <c r="AK335" i="12"/>
  <c r="AL335" i="12" s="1"/>
  <c r="AB220" i="12"/>
  <c r="X233" i="12"/>
  <c r="AB233" i="12" s="1"/>
  <c r="AE82" i="2"/>
  <c r="AF75" i="2"/>
  <c r="AA217" i="2"/>
  <c r="AA281" i="2"/>
  <c r="AA249" i="2"/>
  <c r="AA185" i="2"/>
  <c r="AC228" i="2"/>
  <c r="AD228" i="2" s="1"/>
  <c r="AE228" i="2" s="1"/>
  <c r="AF228" i="2" s="1"/>
  <c r="AG228" i="2" s="1"/>
  <c r="AH228" i="2" s="1"/>
  <c r="AI228" i="2" s="1"/>
  <c r="AB242" i="2"/>
  <c r="AF242" i="2" s="1"/>
  <c r="AH212" i="2"/>
  <c r="AI212" i="2" s="1"/>
  <c r="AL212" i="2" s="1"/>
  <c r="AK221" i="2" s="1"/>
  <c r="AJ212" i="2"/>
  <c r="AB59" i="2"/>
  <c r="AF59" i="2" s="1"/>
  <c r="AF43" i="2"/>
  <c r="AF210" i="2"/>
  <c r="AL244" i="2"/>
  <c r="AK253" i="2" s="1"/>
  <c r="AK249" i="2"/>
  <c r="AB274" i="2"/>
  <c r="AF274" i="2" s="1"/>
  <c r="AK244" i="2"/>
  <c r="AB61" i="2"/>
  <c r="AB178" i="2"/>
  <c r="AF178" i="2" s="1"/>
  <c r="T285" i="2"/>
  <c r="U285" i="2" s="1"/>
  <c r="V285" i="2" s="1"/>
  <c r="AC285" i="2" s="1"/>
  <c r="AH285" i="2" s="1"/>
  <c r="AG288" i="2" s="1"/>
  <c r="X288" i="2" s="1"/>
  <c r="AJ276" i="2"/>
  <c r="AJ294" i="2"/>
  <c r="AI294" i="2"/>
  <c r="AH276" i="2"/>
  <c r="AI276" i="2" s="1"/>
  <c r="Y148" i="2"/>
  <c r="Z148" i="2" s="1"/>
  <c r="AE283" i="2"/>
  <c r="AF77" i="2"/>
  <c r="AF84" i="2" s="1"/>
  <c r="AE251" i="2"/>
  <c r="AB45" i="2"/>
  <c r="AF45" i="2" s="1"/>
  <c r="AF52" i="2" s="1"/>
  <c r="AB27" i="2"/>
  <c r="X34" i="2"/>
  <c r="AB34" i="2" s="1"/>
  <c r="X36" i="2"/>
  <c r="AB36" i="2" s="1"/>
  <c r="AB29" i="2"/>
  <c r="X82" i="2"/>
  <c r="AB82" i="2" s="1"/>
  <c r="W253" i="2"/>
  <c r="AR258" i="2"/>
  <c r="AR263" i="2" s="1"/>
  <c r="AR262" i="2" s="1"/>
  <c r="AH196" i="2"/>
  <c r="AI196" i="2" s="1"/>
  <c r="AH292" i="2"/>
  <c r="AJ292" i="2" s="1"/>
  <c r="AC253" i="2"/>
  <c r="AH253" i="2" s="1"/>
  <c r="L157" i="2"/>
  <c r="Q157" i="2" s="1"/>
  <c r="AQ453" i="13" l="1"/>
  <c r="AR453" i="13" s="1"/>
  <c r="AK271" i="13"/>
  <c r="AL271" i="13" s="1"/>
  <c r="AB367" i="13"/>
  <c r="AF367" i="13" s="1"/>
  <c r="AF384" i="13" s="1"/>
  <c r="X384" i="13"/>
  <c r="AB384" i="13" s="1"/>
  <c r="AN259" i="13"/>
  <c r="AO259" i="13" s="1"/>
  <c r="AP259" i="13" s="1"/>
  <c r="AP276" i="13" s="1"/>
  <c r="AJ31" i="12"/>
  <c r="AH31" i="12"/>
  <c r="AI31" i="12" s="1"/>
  <c r="AL31" i="12" s="1"/>
  <c r="AM31" i="12" s="1"/>
  <c r="T40" i="12"/>
  <c r="U40" i="12" s="1"/>
  <c r="V40" i="12" s="1"/>
  <c r="W40" i="12" s="1"/>
  <c r="AK235" i="12"/>
  <c r="AM235" i="12" s="1"/>
  <c r="X273" i="12"/>
  <c r="AB273" i="12" s="1"/>
  <c r="AH264" i="12"/>
  <c r="AI264" i="12" s="1"/>
  <c r="AL264" i="12" s="1"/>
  <c r="AK277" i="12" s="1"/>
  <c r="AM277" i="12" s="1"/>
  <c r="AK259" i="13"/>
  <c r="I89" i="1"/>
  <c r="AV421" i="13"/>
  <c r="AU438" i="13"/>
  <c r="I114" i="1"/>
  <c r="AT455" i="13"/>
  <c r="I109" i="1"/>
  <c r="AT403" i="13"/>
  <c r="I104" i="1"/>
  <c r="AT351" i="13"/>
  <c r="AJ51" i="12"/>
  <c r="AC361" i="12"/>
  <c r="AK229" i="12"/>
  <c r="AL229" i="12" s="1"/>
  <c r="AN348" i="12"/>
  <c r="AK355" i="12"/>
  <c r="AL348" i="12"/>
  <c r="AK348" i="12"/>
  <c r="W361" i="12"/>
  <c r="AJ401" i="13"/>
  <c r="AM401" i="13" s="1"/>
  <c r="AF417" i="13"/>
  <c r="AF434" i="13" s="1"/>
  <c r="AH51" i="12"/>
  <c r="AI51" i="12" s="1"/>
  <c r="AL51" i="12" s="1"/>
  <c r="AM51" i="12" s="1"/>
  <c r="T60" i="12"/>
  <c r="U60" i="12" s="1"/>
  <c r="V60" i="12" s="1"/>
  <c r="AC60" i="12" s="1"/>
  <c r="V442" i="13"/>
  <c r="L442" i="13" s="1"/>
  <c r="T251" i="2"/>
  <c r="AF251" i="2"/>
  <c r="T82" i="2"/>
  <c r="U82" i="2" s="1"/>
  <c r="V82" i="2" s="1"/>
  <c r="AC82" i="2" s="1"/>
  <c r="AH82" i="2" s="1"/>
  <c r="AI82" i="2" s="1"/>
  <c r="AF82" i="2"/>
  <c r="AQ419" i="13"/>
  <c r="AG436" i="13" s="1"/>
  <c r="AH436" i="13" s="1"/>
  <c r="T219" i="2"/>
  <c r="AF219" i="2"/>
  <c r="AH55" i="12"/>
  <c r="AI55" i="12" s="1"/>
  <c r="AL55" i="12" s="1"/>
  <c r="AK64" i="12" s="1"/>
  <c r="AM64" i="12" s="1"/>
  <c r="AF64" i="12"/>
  <c r="T283" i="2"/>
  <c r="AF283" i="2"/>
  <c r="AH399" i="13"/>
  <c r="AK406" i="13" s="1"/>
  <c r="AL406" i="13" s="1"/>
  <c r="AS129" i="12"/>
  <c r="AU129" i="12" s="1"/>
  <c r="AS453" i="13"/>
  <c r="AU453" i="13" s="1"/>
  <c r="AX453" i="13" s="1"/>
  <c r="AH451" i="13"/>
  <c r="AI451" i="13" s="1"/>
  <c r="AI401" i="13"/>
  <c r="T50" i="2"/>
  <c r="U50" i="2" s="1"/>
  <c r="V50" i="2" s="1"/>
  <c r="AC50" i="2" s="1"/>
  <c r="AH50" i="2" s="1"/>
  <c r="AF50" i="2"/>
  <c r="T66" i="2"/>
  <c r="U66" i="2" s="1"/>
  <c r="V66" i="2" s="1"/>
  <c r="W66" i="2" s="1"/>
  <c r="AF66" i="2"/>
  <c r="T187" i="2"/>
  <c r="U187" i="2" s="1"/>
  <c r="AF187" i="2"/>
  <c r="J94" i="1"/>
  <c r="K94" i="1" s="1"/>
  <c r="L94" i="1" s="1"/>
  <c r="M94" i="1" s="1"/>
  <c r="BE246" i="13"/>
  <c r="I73" i="1"/>
  <c r="AV212" i="13"/>
  <c r="AU229" i="13"/>
  <c r="W436" i="13"/>
  <c r="AJ417" i="13"/>
  <c r="AF365" i="13"/>
  <c r="AH365" i="13" s="1"/>
  <c r="AI365" i="13" s="1"/>
  <c r="AH35" i="12"/>
  <c r="AI35" i="12" s="1"/>
  <c r="AL35" i="12" s="1"/>
  <c r="AF44" i="12"/>
  <c r="AK273" i="13"/>
  <c r="AL273" i="13" s="1"/>
  <c r="AF315" i="13"/>
  <c r="AE332" i="13"/>
  <c r="AE330" i="13"/>
  <c r="AF313" i="13"/>
  <c r="AK263" i="13"/>
  <c r="AC276" i="13"/>
  <c r="V284" i="13"/>
  <c r="L284" i="13" s="1"/>
  <c r="AN263" i="13"/>
  <c r="AO263" i="13" s="1"/>
  <c r="AP263" i="13" s="1"/>
  <c r="AP280" i="13" s="1"/>
  <c r="V280" i="13"/>
  <c r="AC280" i="13" s="1"/>
  <c r="AK265" i="13"/>
  <c r="AM259" i="13"/>
  <c r="AK276" i="13"/>
  <c r="AM276" i="13" s="1"/>
  <c r="V282" i="13"/>
  <c r="AC282" i="13" s="1"/>
  <c r="AM263" i="13"/>
  <c r="AK280" i="13"/>
  <c r="AM280" i="13" s="1"/>
  <c r="AJ264" i="12"/>
  <c r="AK264" i="12" s="1"/>
  <c r="AF277" i="12"/>
  <c r="AH262" i="12"/>
  <c r="AI262" i="12" s="1"/>
  <c r="AL262" i="12" s="1"/>
  <c r="AM262" i="12" s="1"/>
  <c r="AF275" i="12"/>
  <c r="AK274" i="13"/>
  <c r="AL274" i="13" s="1"/>
  <c r="AM265" i="13"/>
  <c r="AF261" i="13"/>
  <c r="AN265" i="13"/>
  <c r="AN208" i="13"/>
  <c r="AK219" i="13"/>
  <c r="AL219" i="13" s="1"/>
  <c r="AK208" i="13"/>
  <c r="AK250" i="13"/>
  <c r="AL250" i="13" s="1"/>
  <c r="AI244" i="13"/>
  <c r="AJ149" i="13"/>
  <c r="AM149" i="13" s="1"/>
  <c r="AQ149" i="13" s="1"/>
  <c r="AR149" i="13" s="1"/>
  <c r="AJ244" i="13"/>
  <c r="AM244" i="13" s="1"/>
  <c r="AF206" i="13"/>
  <c r="T223" i="13" s="1"/>
  <c r="U223" i="13" s="1"/>
  <c r="AQ191" i="13"/>
  <c r="AR191" i="13" s="1"/>
  <c r="AH240" i="13"/>
  <c r="AK248" i="13" s="1"/>
  <c r="AL248" i="13" s="1"/>
  <c r="AC225" i="13"/>
  <c r="AJ210" i="13"/>
  <c r="T227" i="13"/>
  <c r="U227" i="13" s="1"/>
  <c r="AF227" i="13"/>
  <c r="AQ177" i="13"/>
  <c r="AR177" i="13" s="1"/>
  <c r="AS177" i="13" s="1"/>
  <c r="AU177" i="13" s="1"/>
  <c r="AX177" i="13" s="1"/>
  <c r="AH210" i="13"/>
  <c r="AI210" i="13" s="1"/>
  <c r="AF63" i="13"/>
  <c r="AF74" i="13" s="1"/>
  <c r="AQ193" i="13"/>
  <c r="AR193" i="13" s="1"/>
  <c r="AS193" i="13" s="1"/>
  <c r="AH85" i="13"/>
  <c r="AI85" i="13" s="1"/>
  <c r="AL85" i="13" s="1"/>
  <c r="AJ85" i="13"/>
  <c r="T96" i="13"/>
  <c r="U96" i="13" s="1"/>
  <c r="V96" i="13" s="1"/>
  <c r="AC96" i="13" s="1"/>
  <c r="AQ147" i="13"/>
  <c r="AR147" i="13" s="1"/>
  <c r="AS175" i="13"/>
  <c r="AU175" i="13" s="1"/>
  <c r="AX175" i="13" s="1"/>
  <c r="AS179" i="13"/>
  <c r="AU179" i="13" s="1"/>
  <c r="AX179" i="13" s="1"/>
  <c r="AS151" i="13"/>
  <c r="AU151" i="13" s="1"/>
  <c r="AX151" i="13" s="1"/>
  <c r="X74" i="13"/>
  <c r="AB74" i="13" s="1"/>
  <c r="AE118" i="13"/>
  <c r="AF107" i="13"/>
  <c r="AJ109" i="13"/>
  <c r="T120" i="13"/>
  <c r="U120" i="13" s="1"/>
  <c r="V120" i="13" s="1"/>
  <c r="AF111" i="13"/>
  <c r="AH111" i="13" s="1"/>
  <c r="AI111" i="13" s="1"/>
  <c r="AQ113" i="13"/>
  <c r="AS113" i="13" s="1"/>
  <c r="AT113" i="13" s="1"/>
  <c r="X48" i="13"/>
  <c r="AB48" i="13" s="1"/>
  <c r="AK83" i="13"/>
  <c r="W100" i="13"/>
  <c r="AQ89" i="13"/>
  <c r="AP100" i="13"/>
  <c r="T98" i="13"/>
  <c r="U98" i="13" s="1"/>
  <c r="V98" i="13" s="1"/>
  <c r="AC98" i="13" s="1"/>
  <c r="AL83" i="13"/>
  <c r="AK94" i="13" s="1"/>
  <c r="AM94" i="13" s="1"/>
  <c r="V94" i="13"/>
  <c r="AC94" i="13" s="1"/>
  <c r="AB59" i="13"/>
  <c r="AF59" i="13" s="1"/>
  <c r="X70" i="13"/>
  <c r="AB70" i="13" s="1"/>
  <c r="AQ65" i="13"/>
  <c r="AS65" i="13" s="1"/>
  <c r="AT65" i="13" s="1"/>
  <c r="AE70" i="13"/>
  <c r="AB35" i="13"/>
  <c r="AF35" i="13" s="1"/>
  <c r="AJ35" i="13" s="1"/>
  <c r="X46" i="13"/>
  <c r="AB46" i="13" s="1"/>
  <c r="AU41" i="13"/>
  <c r="AQ52" i="13"/>
  <c r="AG52" i="13"/>
  <c r="AH52" i="13" s="1"/>
  <c r="AS41" i="13"/>
  <c r="AT41" i="13" s="1"/>
  <c r="AF37" i="13"/>
  <c r="AF48" i="13" s="1"/>
  <c r="AE24" i="13"/>
  <c r="AF13" i="13"/>
  <c r="AF24" i="13" s="1"/>
  <c r="V28" i="13"/>
  <c r="AC28" i="13" s="1"/>
  <c r="AK17" i="13"/>
  <c r="AN17" i="13"/>
  <c r="AO17" i="13" s="1"/>
  <c r="AP17" i="13" s="1"/>
  <c r="AP28" i="13" s="1"/>
  <c r="AA11" i="13"/>
  <c r="X22" i="13" s="1"/>
  <c r="AB22" i="13" s="1"/>
  <c r="AL17" i="13"/>
  <c r="AM17" i="13" s="1"/>
  <c r="AJ55" i="12"/>
  <c r="AD260" i="12"/>
  <c r="AE260" i="12" s="1"/>
  <c r="AE273" i="12" s="1"/>
  <c r="T64" i="12"/>
  <c r="U64" i="12" s="1"/>
  <c r="V64" i="12" s="1"/>
  <c r="AC64" i="12" s="1"/>
  <c r="AJ87" i="13"/>
  <c r="AC347" i="13"/>
  <c r="AD347" i="13" s="1"/>
  <c r="AE347" i="13" s="1"/>
  <c r="AF347" i="13" s="1"/>
  <c r="AG347" i="13" s="1"/>
  <c r="AJ39" i="13"/>
  <c r="AC11" i="13"/>
  <c r="AD11" i="13" s="1"/>
  <c r="AE11" i="13" s="1"/>
  <c r="AE22" i="13" s="1"/>
  <c r="AJ137" i="13"/>
  <c r="AM137" i="13" s="1"/>
  <c r="AN137" i="13"/>
  <c r="AO137" i="13" s="1"/>
  <c r="AP137" i="13" s="1"/>
  <c r="AH372" i="12"/>
  <c r="AI372" i="12" s="1"/>
  <c r="AH87" i="13"/>
  <c r="AI87" i="13" s="1"/>
  <c r="AH109" i="13"/>
  <c r="AI109" i="13" s="1"/>
  <c r="AB61" i="13"/>
  <c r="AF61" i="13" s="1"/>
  <c r="AF72" i="13" s="1"/>
  <c r="X72" i="13"/>
  <c r="AB72" i="13" s="1"/>
  <c r="AH328" i="12"/>
  <c r="AI328" i="12" s="1"/>
  <c r="AC349" i="13"/>
  <c r="AD349" i="13" s="1"/>
  <c r="AE349" i="13" s="1"/>
  <c r="AF349" i="13" s="1"/>
  <c r="AG349" i="13" s="1"/>
  <c r="AE26" i="13"/>
  <c r="AB15" i="13"/>
  <c r="AF15" i="13" s="1"/>
  <c r="AF26" i="13" s="1"/>
  <c r="X26" i="13"/>
  <c r="AB26" i="13" s="1"/>
  <c r="AF218" i="12"/>
  <c r="AF231" i="12" s="1"/>
  <c r="AE72" i="13"/>
  <c r="AN83" i="13"/>
  <c r="AO83" i="13" s="1"/>
  <c r="AP83" i="13" s="1"/>
  <c r="AN222" i="12"/>
  <c r="AN248" i="12" s="1"/>
  <c r="AO248" i="12" s="1"/>
  <c r="AP248" i="12" s="1"/>
  <c r="AK222" i="12"/>
  <c r="V281" i="12"/>
  <c r="L281" i="12" s="1"/>
  <c r="AE275" i="12"/>
  <c r="AB15" i="12"/>
  <c r="AF15" i="12" s="1"/>
  <c r="AF24" i="12" s="1"/>
  <c r="AN75" i="12"/>
  <c r="AO75" i="12" s="1"/>
  <c r="AP75" i="12" s="1"/>
  <c r="AK75" i="12"/>
  <c r="AL75" i="12"/>
  <c r="V84" i="12"/>
  <c r="AC84" i="12" s="1"/>
  <c r="T44" i="12"/>
  <c r="U44" i="12" s="1"/>
  <c r="AJ35" i="12"/>
  <c r="AH304" i="12"/>
  <c r="AI304" i="12" s="1"/>
  <c r="AJ304" i="12"/>
  <c r="T317" i="12"/>
  <c r="U317" i="12" s="1"/>
  <c r="V317" i="12" s="1"/>
  <c r="AC317" i="12" s="1"/>
  <c r="AC277" i="12"/>
  <c r="AK376" i="12"/>
  <c r="AL376" i="12" s="1"/>
  <c r="AJ370" i="12"/>
  <c r="AM370" i="12" s="1"/>
  <c r="AJ344" i="12"/>
  <c r="T357" i="12"/>
  <c r="U357" i="12" s="1"/>
  <c r="AH344" i="12"/>
  <c r="AE359" i="12"/>
  <c r="AF346" i="12"/>
  <c r="AF359" i="12" s="1"/>
  <c r="AF302" i="12"/>
  <c r="AF315" i="12" s="1"/>
  <c r="AO306" i="12"/>
  <c r="AP306" i="12" s="1"/>
  <c r="AP319" i="12" s="1"/>
  <c r="AN332" i="12"/>
  <c r="AO332" i="12" s="1"/>
  <c r="AP332" i="12" s="1"/>
  <c r="AQ332" i="12" s="1"/>
  <c r="AR332" i="12" s="1"/>
  <c r="AC319" i="12"/>
  <c r="W319" i="12"/>
  <c r="AJ262" i="12"/>
  <c r="T275" i="12"/>
  <c r="U275" i="12" s="1"/>
  <c r="V275" i="12" s="1"/>
  <c r="AC275" i="12" s="1"/>
  <c r="AI286" i="12"/>
  <c r="AH288" i="12"/>
  <c r="AK293" i="12" s="1"/>
  <c r="AL293" i="12" s="1"/>
  <c r="AJ244" i="12"/>
  <c r="AM244" i="12" s="1"/>
  <c r="AH246" i="12"/>
  <c r="AJ246" i="12" s="1"/>
  <c r="AM246" i="12" s="1"/>
  <c r="AF180" i="12"/>
  <c r="W235" i="12"/>
  <c r="V239" i="12"/>
  <c r="L239" i="12" s="1"/>
  <c r="Z186" i="12"/>
  <c r="AA186" i="12" s="1"/>
  <c r="AF220" i="12"/>
  <c r="AS161" i="12"/>
  <c r="AU161" i="12" s="1"/>
  <c r="AU149" i="12"/>
  <c r="AS151" i="12"/>
  <c r="AU151" i="12" s="1"/>
  <c r="AS153" i="12"/>
  <c r="AU137" i="12"/>
  <c r="AF91" i="12"/>
  <c r="AU125" i="12"/>
  <c r="AC104" i="12"/>
  <c r="AK104" i="12"/>
  <c r="AM104" i="12" s="1"/>
  <c r="AM95" i="12"/>
  <c r="T102" i="12"/>
  <c r="U102" i="12" s="1"/>
  <c r="V102" i="12" s="1"/>
  <c r="AP104" i="12"/>
  <c r="AF53" i="12"/>
  <c r="AF62" i="12" s="1"/>
  <c r="AE62" i="12"/>
  <c r="AH11" i="12"/>
  <c r="AI11" i="12" s="1"/>
  <c r="T20" i="12"/>
  <c r="AH206" i="12"/>
  <c r="AJ206" i="12" s="1"/>
  <c r="AM206" i="12" s="1"/>
  <c r="AJ93" i="12"/>
  <c r="AH93" i="12"/>
  <c r="AI93" i="12" s="1"/>
  <c r="AL93" i="12" s="1"/>
  <c r="AK102" i="12" s="1"/>
  <c r="AM102" i="12" s="1"/>
  <c r="AK185" i="2"/>
  <c r="AL185" i="2" s="1"/>
  <c r="AS117" i="12"/>
  <c r="AE233" i="12"/>
  <c r="AM113" i="12"/>
  <c r="AK180" i="2"/>
  <c r="AK250" i="12"/>
  <c r="AL250" i="12" s="1"/>
  <c r="AF29" i="2"/>
  <c r="AF36" i="2" s="1"/>
  <c r="AF61" i="2"/>
  <c r="AL249" i="2"/>
  <c r="N157" i="2"/>
  <c r="AK212" i="2"/>
  <c r="AK217" i="2"/>
  <c r="AH43" i="2"/>
  <c r="AI43" i="2" s="1"/>
  <c r="AL43" i="2" s="1"/>
  <c r="AK50" i="2" s="1"/>
  <c r="AJ59" i="2"/>
  <c r="AJ43" i="2"/>
  <c r="AH59" i="2"/>
  <c r="AI59" i="2" s="1"/>
  <c r="AL59" i="2" s="1"/>
  <c r="AK66" i="2" s="1"/>
  <c r="AL276" i="2"/>
  <c r="AK285" i="2" s="1"/>
  <c r="AK281" i="2"/>
  <c r="Z153" i="2"/>
  <c r="AI285" i="2"/>
  <c r="AJ285" i="2" s="1"/>
  <c r="W285" i="2"/>
  <c r="V288" i="2"/>
  <c r="L288" i="2" s="1"/>
  <c r="AK276" i="2"/>
  <c r="T84" i="2"/>
  <c r="U84" i="2" s="1"/>
  <c r="V84" i="2" s="1"/>
  <c r="AC84" i="2" s="1"/>
  <c r="AJ45" i="2"/>
  <c r="T52" i="2"/>
  <c r="U52" i="2" s="1"/>
  <c r="V52" i="2" s="1"/>
  <c r="AC52" i="2" s="1"/>
  <c r="AH52" i="2" s="1"/>
  <c r="AH77" i="2"/>
  <c r="AI77" i="2" s="1"/>
  <c r="AL77" i="2" s="1"/>
  <c r="AK84" i="2" s="1"/>
  <c r="AJ77" i="2"/>
  <c r="AH45" i="2"/>
  <c r="AI45" i="2" s="1"/>
  <c r="AL45" i="2" s="1"/>
  <c r="AK52" i="2" s="1"/>
  <c r="AF27" i="2"/>
  <c r="AF34" i="2" s="1"/>
  <c r="U251" i="2"/>
  <c r="V251" i="2" s="1"/>
  <c r="V255" i="2" s="1"/>
  <c r="L255" i="2" s="1"/>
  <c r="AJ274" i="2"/>
  <c r="AR260" i="2"/>
  <c r="I89" i="7"/>
  <c r="AI292" i="2"/>
  <c r="AR290" i="2" s="1"/>
  <c r="AR295" i="2" s="1"/>
  <c r="AK232" i="2"/>
  <c r="AL232" i="2" s="1"/>
  <c r="W221" i="2"/>
  <c r="W189" i="2"/>
  <c r="AJ228" i="2"/>
  <c r="AR226" i="2"/>
  <c r="AR231" i="2" s="1"/>
  <c r="AR194" i="2"/>
  <c r="AR199" i="2" s="1"/>
  <c r="AG256" i="2"/>
  <c r="X256" i="2" s="1"/>
  <c r="AJ196" i="2"/>
  <c r="AK200" i="2"/>
  <c r="AL200" i="2" s="1"/>
  <c r="AK296" i="2"/>
  <c r="AL296" i="2" s="1"/>
  <c r="AI253" i="2"/>
  <c r="AJ253" i="2" s="1"/>
  <c r="AG192" i="2"/>
  <c r="X192" i="2" s="1"/>
  <c r="V192" i="2"/>
  <c r="AC221" i="2"/>
  <c r="AH221" i="2" s="1"/>
  <c r="AI189" i="2"/>
  <c r="AJ189" i="2" s="1"/>
  <c r="AI50" i="2"/>
  <c r="AJ50" i="2" s="1"/>
  <c r="J95" i="2"/>
  <c r="E95" i="2"/>
  <c r="AK40" i="12" l="1"/>
  <c r="AM40" i="12" s="1"/>
  <c r="W50" i="2"/>
  <c r="AN293" i="13"/>
  <c r="AO293" i="13" s="1"/>
  <c r="AP293" i="13" s="1"/>
  <c r="AQ293" i="13" s="1"/>
  <c r="AR293" i="13" s="1"/>
  <c r="T434" i="13"/>
  <c r="U434" i="13" s="1"/>
  <c r="V434" i="13" s="1"/>
  <c r="AC434" i="13" s="1"/>
  <c r="AH417" i="13"/>
  <c r="AI417" i="13" s="1"/>
  <c r="AL417" i="13" s="1"/>
  <c r="AM417" i="13" s="1"/>
  <c r="AQ436" i="13"/>
  <c r="AK31" i="12"/>
  <c r="AN31" i="12"/>
  <c r="AO31" i="12" s="1"/>
  <c r="AP31" i="12" s="1"/>
  <c r="AP40" i="12" s="1"/>
  <c r="AR198" i="2"/>
  <c r="AH367" i="13"/>
  <c r="AI367" i="13" s="1"/>
  <c r="AL367" i="13" s="1"/>
  <c r="AJ367" i="13"/>
  <c r="T384" i="13"/>
  <c r="U384" i="13" s="1"/>
  <c r="V384" i="13" s="1"/>
  <c r="AC384" i="13" s="1"/>
  <c r="AJ399" i="13"/>
  <c r="AM399" i="13" s="1"/>
  <c r="AK271" i="12"/>
  <c r="AL271" i="12" s="1"/>
  <c r="AN264" i="12"/>
  <c r="AN290" i="12" s="1"/>
  <c r="AO290" i="12" s="1"/>
  <c r="AP290" i="12" s="1"/>
  <c r="AQ290" i="12" s="1"/>
  <c r="AR290" i="12" s="1"/>
  <c r="AS290" i="12" s="1"/>
  <c r="AU290" i="12" s="1"/>
  <c r="AK51" i="12"/>
  <c r="AK35" i="12"/>
  <c r="AR294" i="2"/>
  <c r="AN51" i="12"/>
  <c r="AO51" i="12" s="1"/>
  <c r="AP51" i="12" s="1"/>
  <c r="AQ51" i="12" s="1"/>
  <c r="AR230" i="2"/>
  <c r="AI399" i="13"/>
  <c r="J114" i="1"/>
  <c r="K114" i="1" s="1"/>
  <c r="L114" i="1" s="1"/>
  <c r="M114" i="1" s="1"/>
  <c r="BE455" i="13"/>
  <c r="J89" i="1"/>
  <c r="K89" i="1" s="1"/>
  <c r="L89" i="1" s="1"/>
  <c r="M89" i="1" s="1"/>
  <c r="BG421" i="13"/>
  <c r="BF438" i="13"/>
  <c r="J109" i="1"/>
  <c r="K109" i="1" s="1"/>
  <c r="L109" i="1" s="1"/>
  <c r="M109" i="1" s="1"/>
  <c r="BE403" i="13"/>
  <c r="J104" i="1"/>
  <c r="K104" i="1" s="1"/>
  <c r="L104" i="1" s="1"/>
  <c r="M104" i="1" s="1"/>
  <c r="BE351" i="13"/>
  <c r="AV459" i="13"/>
  <c r="AW459" i="13" s="1"/>
  <c r="AO348" i="12"/>
  <c r="AP348" i="12" s="1"/>
  <c r="AN374" i="12"/>
  <c r="AO374" i="12" s="1"/>
  <c r="AP374" i="12" s="1"/>
  <c r="AQ374" i="12" s="1"/>
  <c r="AR374" i="12" s="1"/>
  <c r="AS374" i="12" s="1"/>
  <c r="AV378" i="12" s="1"/>
  <c r="AM55" i="12"/>
  <c r="AK361" i="12"/>
  <c r="AM361" i="12" s="1"/>
  <c r="AM348" i="12"/>
  <c r="AK55" i="12"/>
  <c r="AT453" i="13"/>
  <c r="AJ91" i="12"/>
  <c r="AF100" i="12"/>
  <c r="AJ451" i="13"/>
  <c r="AM451" i="13" s="1"/>
  <c r="AH61" i="2"/>
  <c r="AI61" i="2" s="1"/>
  <c r="AL61" i="2" s="1"/>
  <c r="AK68" i="2" s="1"/>
  <c r="AF68" i="2"/>
  <c r="AK458" i="13"/>
  <c r="AL458" i="13" s="1"/>
  <c r="AC40" i="12"/>
  <c r="J73" i="1"/>
  <c r="K73" i="1" s="1"/>
  <c r="L73" i="1" s="1"/>
  <c r="M73" i="1" s="1"/>
  <c r="BG212" i="13"/>
  <c r="BF229" i="13"/>
  <c r="AI436" i="13"/>
  <c r="AJ436" i="13" s="1"/>
  <c r="AG442" i="13"/>
  <c r="X442" i="13" s="1"/>
  <c r="AL365" i="13"/>
  <c r="AF382" i="13"/>
  <c r="T382" i="13"/>
  <c r="U382" i="13" s="1"/>
  <c r="AJ365" i="13"/>
  <c r="AK365" i="13" s="1"/>
  <c r="AH347" i="13"/>
  <c r="AJ347" i="13" s="1"/>
  <c r="AM347" i="13" s="1"/>
  <c r="AH349" i="13"/>
  <c r="AI349" i="13" s="1"/>
  <c r="AQ259" i="13"/>
  <c r="AQ276" i="13" s="1"/>
  <c r="AF330" i="13"/>
  <c r="T330" i="13"/>
  <c r="U330" i="13" s="1"/>
  <c r="AJ313" i="13"/>
  <c r="AH313" i="13"/>
  <c r="AI313" i="13" s="1"/>
  <c r="AJ315" i="13"/>
  <c r="AF332" i="13"/>
  <c r="T332" i="13"/>
  <c r="U332" i="13" s="1"/>
  <c r="AH315" i="13"/>
  <c r="AI315" i="13" s="1"/>
  <c r="V286" i="13"/>
  <c r="L286" i="13" s="1"/>
  <c r="AS293" i="13"/>
  <c r="AV301" i="13" s="1"/>
  <c r="AW301" i="13" s="1"/>
  <c r="AQ263" i="13"/>
  <c r="AU263" i="13" s="1"/>
  <c r="W282" i="13"/>
  <c r="AJ261" i="13"/>
  <c r="AF278" i="13"/>
  <c r="T278" i="13"/>
  <c r="U278" i="13" s="1"/>
  <c r="V287" i="13"/>
  <c r="L287" i="13" s="1"/>
  <c r="AK270" i="12"/>
  <c r="AL270" i="12" s="1"/>
  <c r="T233" i="12"/>
  <c r="U233" i="12" s="1"/>
  <c r="V233" i="12" s="1"/>
  <c r="W233" i="12" s="1"/>
  <c r="AF233" i="12"/>
  <c r="AH180" i="12"/>
  <c r="AI180" i="12" s="1"/>
  <c r="AL180" i="12" s="1"/>
  <c r="AM180" i="12" s="1"/>
  <c r="AF193" i="12"/>
  <c r="AH261" i="13"/>
  <c r="AI261" i="13" s="1"/>
  <c r="AL261" i="13" s="1"/>
  <c r="AO265" i="13"/>
  <c r="AP265" i="13" s="1"/>
  <c r="AP282" i="13" s="1"/>
  <c r="AN299" i="13"/>
  <c r="AJ206" i="13"/>
  <c r="AF223" i="13"/>
  <c r="AH206" i="13"/>
  <c r="AI206" i="13" s="1"/>
  <c r="AI240" i="13"/>
  <c r="AJ63" i="13"/>
  <c r="T74" i="13"/>
  <c r="U74" i="13" s="1"/>
  <c r="V74" i="13" s="1"/>
  <c r="AC74" i="13" s="1"/>
  <c r="AH63" i="13"/>
  <c r="AI63" i="13" s="1"/>
  <c r="AL63" i="13" s="1"/>
  <c r="AM63" i="13" s="1"/>
  <c r="AJ240" i="13"/>
  <c r="AM240" i="13" s="1"/>
  <c r="AK85" i="13"/>
  <c r="W96" i="13"/>
  <c r="V223" i="13"/>
  <c r="AC223" i="13" s="1"/>
  <c r="AS191" i="13"/>
  <c r="AU191" i="13" s="1"/>
  <c r="AX191" i="13" s="1"/>
  <c r="AK220" i="13"/>
  <c r="AL220" i="13" s="1"/>
  <c r="V227" i="13"/>
  <c r="AC227" i="13" s="1"/>
  <c r="AL206" i="13"/>
  <c r="AF118" i="13"/>
  <c r="AJ107" i="13"/>
  <c r="AK210" i="13"/>
  <c r="AN210" i="13"/>
  <c r="T118" i="13"/>
  <c r="U118" i="13" s="1"/>
  <c r="V118" i="13" s="1"/>
  <c r="AC118" i="13" s="1"/>
  <c r="AH107" i="13"/>
  <c r="AI107" i="13" s="1"/>
  <c r="AL107" i="13" s="1"/>
  <c r="AK118" i="13" s="1"/>
  <c r="AM118" i="13" s="1"/>
  <c r="AU193" i="13"/>
  <c r="AX193" i="13" s="1"/>
  <c r="AY193" i="13"/>
  <c r="AZ193" i="13" s="1"/>
  <c r="BA193" i="13" s="1"/>
  <c r="AK96" i="13"/>
  <c r="AM96" i="13" s="1"/>
  <c r="AM85" i="13"/>
  <c r="AN85" i="13"/>
  <c r="AO85" i="13" s="1"/>
  <c r="AP85" i="13" s="1"/>
  <c r="AP96" i="13" s="1"/>
  <c r="AY175" i="13"/>
  <c r="AZ175" i="13" s="1"/>
  <c r="BA175" i="13" s="1"/>
  <c r="BB175" i="13" s="1"/>
  <c r="BC175" i="13" s="1"/>
  <c r="AY179" i="13"/>
  <c r="AZ179" i="13" s="1"/>
  <c r="BA179" i="13" s="1"/>
  <c r="BB179" i="13" s="1"/>
  <c r="BC179" i="13" s="1"/>
  <c r="AY177" i="13"/>
  <c r="AZ177" i="13" s="1"/>
  <c r="BA177" i="13" s="1"/>
  <c r="BB177" i="13" s="1"/>
  <c r="BC177" i="13" s="1"/>
  <c r="AY151" i="13"/>
  <c r="AZ151" i="13" s="1"/>
  <c r="BA151" i="13" s="1"/>
  <c r="BB151" i="13" s="1"/>
  <c r="BC151" i="13" s="1"/>
  <c r="AS147" i="13"/>
  <c r="AU147" i="13" s="1"/>
  <c r="AX147" i="13" s="1"/>
  <c r="AS149" i="13"/>
  <c r="AQ137" i="13"/>
  <c r="AR137" i="13" s="1"/>
  <c r="AL111" i="13"/>
  <c r="AK122" i="13" s="1"/>
  <c r="AM122" i="13" s="1"/>
  <c r="AN109" i="13"/>
  <c r="AO109" i="13" s="1"/>
  <c r="AP109" i="13" s="1"/>
  <c r="AF122" i="13"/>
  <c r="T122" i="13"/>
  <c r="U122" i="13" s="1"/>
  <c r="V122" i="13" s="1"/>
  <c r="AJ111" i="13"/>
  <c r="AQ124" i="13"/>
  <c r="AG124" i="13"/>
  <c r="AH124" i="13" s="1"/>
  <c r="AU113" i="13"/>
  <c r="AW113" i="13"/>
  <c r="AX113" i="13" s="1"/>
  <c r="AK87" i="13"/>
  <c r="AQ100" i="13"/>
  <c r="AU89" i="13"/>
  <c r="AG100" i="13"/>
  <c r="AH100" i="13" s="1"/>
  <c r="AP94" i="13"/>
  <c r="AS89" i="13"/>
  <c r="AT89" i="13" s="1"/>
  <c r="T70" i="13"/>
  <c r="U70" i="13" s="1"/>
  <c r="AF70" i="13"/>
  <c r="AH59" i="13"/>
  <c r="AI59" i="13" s="1"/>
  <c r="AQ76" i="13"/>
  <c r="AU65" i="13"/>
  <c r="AV65" i="13" s="1"/>
  <c r="AG76" i="13"/>
  <c r="AH76" i="13" s="1"/>
  <c r="AW65" i="13"/>
  <c r="AF46" i="13"/>
  <c r="T46" i="13"/>
  <c r="U46" i="13" s="1"/>
  <c r="V46" i="13" s="1"/>
  <c r="W46" i="13" s="1"/>
  <c r="AV41" i="13"/>
  <c r="AY41" i="13"/>
  <c r="AZ41" i="13" s="1"/>
  <c r="BA41" i="13" s="1"/>
  <c r="AW41" i="13"/>
  <c r="AI52" i="13"/>
  <c r="AJ52" i="13" s="1"/>
  <c r="W28" i="13"/>
  <c r="AJ59" i="13"/>
  <c r="AH35" i="13"/>
  <c r="AI35" i="13" s="1"/>
  <c r="AK28" i="13"/>
  <c r="AM28" i="13" s="1"/>
  <c r="AQ17" i="13"/>
  <c r="AQ28" i="13" s="1"/>
  <c r="AK377" i="12"/>
  <c r="AL377" i="12" s="1"/>
  <c r="AN87" i="13"/>
  <c r="AO87" i="13" s="1"/>
  <c r="AP87" i="13" s="1"/>
  <c r="AN55" i="12"/>
  <c r="AO55" i="12" s="1"/>
  <c r="AP55" i="12" s="1"/>
  <c r="AP64" i="12" s="1"/>
  <c r="AF260" i="12"/>
  <c r="W94" i="13"/>
  <c r="AL87" i="13"/>
  <c r="AK98" i="13" s="1"/>
  <c r="AM98" i="13" s="1"/>
  <c r="AH218" i="12"/>
  <c r="AI218" i="12" s="1"/>
  <c r="AL218" i="12" s="1"/>
  <c r="T231" i="12"/>
  <c r="U231" i="12" s="1"/>
  <c r="T50" i="13"/>
  <c r="U50" i="13" s="1"/>
  <c r="V50" i="13" s="1"/>
  <c r="AC50" i="13" s="1"/>
  <c r="AH39" i="13"/>
  <c r="AI39" i="13" s="1"/>
  <c r="AJ218" i="12"/>
  <c r="AJ372" i="12"/>
  <c r="AM372" i="12" s="1"/>
  <c r="AB11" i="13"/>
  <c r="AF11" i="13" s="1"/>
  <c r="AF22" i="13" s="1"/>
  <c r="AO222" i="12"/>
  <c r="AP222" i="12" s="1"/>
  <c r="AQ222" i="12" s="1"/>
  <c r="W280" i="13"/>
  <c r="W98" i="13"/>
  <c r="AC120" i="13"/>
  <c r="AQ113" i="12"/>
  <c r="AR113" i="12" s="1"/>
  <c r="T48" i="13"/>
  <c r="U48" i="13" s="1"/>
  <c r="AJ37" i="13"/>
  <c r="AL109" i="13"/>
  <c r="AK334" i="12"/>
  <c r="AL334" i="12" s="1"/>
  <c r="AJ328" i="12"/>
  <c r="AM328" i="12" s="1"/>
  <c r="T72" i="13"/>
  <c r="U72" i="13" s="1"/>
  <c r="AJ61" i="13"/>
  <c r="AM83" i="13"/>
  <c r="AQ83" i="13" s="1"/>
  <c r="AU419" i="13"/>
  <c r="AS419" i="13"/>
  <c r="AT419" i="13" s="1"/>
  <c r="AH37" i="13"/>
  <c r="AI37" i="13" s="1"/>
  <c r="AH61" i="13"/>
  <c r="AI61" i="13" s="1"/>
  <c r="AN297" i="13"/>
  <c r="AL210" i="13"/>
  <c r="AM264" i="12"/>
  <c r="L192" i="2"/>
  <c r="AN35" i="12"/>
  <c r="AO35" i="12" s="1"/>
  <c r="AP35" i="12" s="1"/>
  <c r="AP44" i="12" s="1"/>
  <c r="AK312" i="12"/>
  <c r="AL312" i="12" s="1"/>
  <c r="AL304" i="12"/>
  <c r="AK317" i="12" s="1"/>
  <c r="AM317" i="12" s="1"/>
  <c r="W84" i="12"/>
  <c r="AK304" i="12"/>
  <c r="AP84" i="12"/>
  <c r="AM75" i="12"/>
  <c r="AQ75" i="12" s="1"/>
  <c r="AQ84" i="12" s="1"/>
  <c r="AK84" i="12"/>
  <c r="AM84" i="12" s="1"/>
  <c r="AH15" i="12"/>
  <c r="AI15" i="12" s="1"/>
  <c r="AJ15" i="12"/>
  <c r="T24" i="12"/>
  <c r="U24" i="12" s="1"/>
  <c r="V44" i="12"/>
  <c r="W44" i="12" s="1"/>
  <c r="AM35" i="12"/>
  <c r="AK44" i="12"/>
  <c r="AM44" i="12" s="1"/>
  <c r="AN304" i="12"/>
  <c r="AO304" i="12" s="1"/>
  <c r="AP304" i="12" s="1"/>
  <c r="AP317" i="12" s="1"/>
  <c r="AJ302" i="12"/>
  <c r="T359" i="12"/>
  <c r="U359" i="12" s="1"/>
  <c r="AH346" i="12"/>
  <c r="AI346" i="12" s="1"/>
  <c r="AL346" i="12" s="1"/>
  <c r="AK359" i="12" s="1"/>
  <c r="AM359" i="12" s="1"/>
  <c r="AJ346" i="12"/>
  <c r="V357" i="12"/>
  <c r="AC357" i="12" s="1"/>
  <c r="AK275" i="12"/>
  <c r="AM275" i="12" s="1"/>
  <c r="AN262" i="12"/>
  <c r="AN288" i="12" s="1"/>
  <c r="AO288" i="12" s="1"/>
  <c r="AP288" i="12" s="1"/>
  <c r="AH302" i="12"/>
  <c r="AI302" i="12" s="1"/>
  <c r="AQ306" i="12"/>
  <c r="T315" i="12"/>
  <c r="U315" i="12" s="1"/>
  <c r="V315" i="12" s="1"/>
  <c r="AC315" i="12" s="1"/>
  <c r="AK262" i="12"/>
  <c r="AI288" i="12"/>
  <c r="V322" i="12"/>
  <c r="L322" i="12" s="1"/>
  <c r="AS332" i="12"/>
  <c r="AU332" i="12" s="1"/>
  <c r="AJ288" i="12"/>
  <c r="AM288" i="12" s="1"/>
  <c r="W275" i="12"/>
  <c r="AJ180" i="12"/>
  <c r="T193" i="12"/>
  <c r="U193" i="12" s="1"/>
  <c r="V193" i="12" s="1"/>
  <c r="W193" i="12" s="1"/>
  <c r="AQ248" i="12"/>
  <c r="AR248" i="12" s="1"/>
  <c r="AK251" i="12"/>
  <c r="AL251" i="12" s="1"/>
  <c r="AI246" i="12"/>
  <c r="AK60" i="12"/>
  <c r="AM60" i="12" s="1"/>
  <c r="AJ220" i="12"/>
  <c r="AH220" i="12"/>
  <c r="AI220" i="12" s="1"/>
  <c r="AU153" i="12"/>
  <c r="T100" i="12"/>
  <c r="U100" i="12" s="1"/>
  <c r="V100" i="12" s="1"/>
  <c r="AC100" i="12" s="1"/>
  <c r="AH91" i="12"/>
  <c r="AI91" i="12" s="1"/>
  <c r="AQ95" i="12"/>
  <c r="AN93" i="12"/>
  <c r="AO93" i="12" s="1"/>
  <c r="AP93" i="12" s="1"/>
  <c r="AP102" i="12" s="1"/>
  <c r="T62" i="12"/>
  <c r="U62" i="12" s="1"/>
  <c r="V62" i="12" s="1"/>
  <c r="W62" i="12" s="1"/>
  <c r="W64" i="12"/>
  <c r="AI206" i="12"/>
  <c r="AK210" i="12"/>
  <c r="AL210" i="12" s="1"/>
  <c r="AU117" i="12"/>
  <c r="AH29" i="2"/>
  <c r="AI29" i="2" s="1"/>
  <c r="AL29" i="2" s="1"/>
  <c r="AK36" i="2" s="1"/>
  <c r="AJ29" i="2"/>
  <c r="T36" i="2"/>
  <c r="U36" i="2" s="1"/>
  <c r="V36" i="2" s="1"/>
  <c r="AC36" i="2" s="1"/>
  <c r="AH36" i="2" s="1"/>
  <c r="AI36" i="2" s="1"/>
  <c r="AJ36" i="2" s="1"/>
  <c r="AJ53" i="12"/>
  <c r="AH53" i="12"/>
  <c r="AI53" i="12" s="1"/>
  <c r="W317" i="12"/>
  <c r="AK292" i="12"/>
  <c r="AL292" i="12" s="1"/>
  <c r="AL355" i="12"/>
  <c r="AC102" i="12"/>
  <c r="W60" i="12"/>
  <c r="T42" i="12"/>
  <c r="U42" i="12" s="1"/>
  <c r="AJ33" i="12"/>
  <c r="AH33" i="12"/>
  <c r="AI33" i="12" s="1"/>
  <c r="T68" i="2"/>
  <c r="U68" i="2" s="1"/>
  <c r="V68" i="2" s="1"/>
  <c r="AC68" i="2" s="1"/>
  <c r="AH68" i="2" s="1"/>
  <c r="AI68" i="2" s="1"/>
  <c r="AJ68" i="2" s="1"/>
  <c r="AI344" i="12"/>
  <c r="AJ61" i="2"/>
  <c r="AJ73" i="12"/>
  <c r="T82" i="12"/>
  <c r="U82" i="12" s="1"/>
  <c r="AH73" i="12"/>
  <c r="AI73" i="12" s="1"/>
  <c r="V280" i="12"/>
  <c r="L280" i="12" s="1"/>
  <c r="AL281" i="2"/>
  <c r="AL217" i="2"/>
  <c r="AA153" i="2"/>
  <c r="AK43" i="2"/>
  <c r="AK59" i="2"/>
  <c r="AH27" i="2"/>
  <c r="AI27" i="2" s="1"/>
  <c r="AL27" i="2" s="1"/>
  <c r="AK34" i="2" s="1"/>
  <c r="T34" i="2"/>
  <c r="U34" i="2" s="1"/>
  <c r="AK45" i="2"/>
  <c r="AJ178" i="2"/>
  <c r="U283" i="2"/>
  <c r="V283" i="2" s="1"/>
  <c r="AC283" i="2" s="1"/>
  <c r="AH283" i="2" s="1"/>
  <c r="AH274" i="2"/>
  <c r="AI274" i="2" s="1"/>
  <c r="W251" i="2"/>
  <c r="AJ27" i="2"/>
  <c r="AH178" i="2"/>
  <c r="AI178" i="2" s="1"/>
  <c r="AJ210" i="2"/>
  <c r="U219" i="2"/>
  <c r="V219" i="2" s="1"/>
  <c r="AC219" i="2" s="1"/>
  <c r="AH219" i="2" s="1"/>
  <c r="AI219" i="2" s="1"/>
  <c r="AJ219" i="2" s="1"/>
  <c r="AH210" i="2"/>
  <c r="AI210" i="2" s="1"/>
  <c r="AJ75" i="2"/>
  <c r="AC251" i="2"/>
  <c r="AH251" i="2" s="1"/>
  <c r="AG255" i="2" s="1"/>
  <c r="X255" i="2" s="1"/>
  <c r="AH242" i="2"/>
  <c r="AI242" i="2" s="1"/>
  <c r="AJ242" i="2"/>
  <c r="AH75" i="2"/>
  <c r="AI75" i="2" s="1"/>
  <c r="AR292" i="2"/>
  <c r="I97" i="7"/>
  <c r="AR228" i="2"/>
  <c r="I81" i="7"/>
  <c r="AR196" i="2"/>
  <c r="I73" i="7"/>
  <c r="W52" i="2"/>
  <c r="V187" i="2"/>
  <c r="W187" i="2" s="1"/>
  <c r="AG224" i="2"/>
  <c r="X224" i="2" s="1"/>
  <c r="AI221" i="2"/>
  <c r="AJ221" i="2" s="1"/>
  <c r="AC66" i="2"/>
  <c r="AH66" i="2" s="1"/>
  <c r="AI52" i="2"/>
  <c r="AJ52" i="2" s="1"/>
  <c r="K95" i="2"/>
  <c r="N95" i="2"/>
  <c r="P95" i="2" s="1"/>
  <c r="AK428" i="13" l="1"/>
  <c r="AN417" i="13"/>
  <c r="AN451" i="13" s="1"/>
  <c r="AO451" i="13" s="1"/>
  <c r="AP451" i="13" s="1"/>
  <c r="AQ451" i="13" s="1"/>
  <c r="AR451" i="13" s="1"/>
  <c r="AK434" i="13"/>
  <c r="AM434" i="13" s="1"/>
  <c r="AK417" i="13"/>
  <c r="AQ31" i="12"/>
  <c r="AS31" i="12" s="1"/>
  <c r="AT31" i="12" s="1"/>
  <c r="AW31" i="12" s="1"/>
  <c r="AV40" i="12" s="1"/>
  <c r="AP60" i="12"/>
  <c r="AK384" i="13"/>
  <c r="AM384" i="13" s="1"/>
  <c r="AM367" i="13"/>
  <c r="W384" i="13"/>
  <c r="AN367" i="13"/>
  <c r="AO367" i="13" s="1"/>
  <c r="AP367" i="13" s="1"/>
  <c r="AP384" i="13" s="1"/>
  <c r="V390" i="13"/>
  <c r="L390" i="13" s="1"/>
  <c r="AK377" i="13"/>
  <c r="AL377" i="13" s="1"/>
  <c r="AK367" i="13"/>
  <c r="AO264" i="12"/>
  <c r="AP264" i="12" s="1"/>
  <c r="AP277" i="12" s="1"/>
  <c r="AT290" i="12"/>
  <c r="AN365" i="13"/>
  <c r="AO365" i="13" s="1"/>
  <c r="AP365" i="13" s="1"/>
  <c r="AP382" i="13" s="1"/>
  <c r="V441" i="13"/>
  <c r="L441" i="13" s="1"/>
  <c r="AG276" i="13"/>
  <c r="AH276" i="13" s="1"/>
  <c r="AI276" i="13" s="1"/>
  <c r="AN276" i="13" s="1"/>
  <c r="AU259" i="13"/>
  <c r="AN436" i="13"/>
  <c r="AM304" i="12"/>
  <c r="AQ304" i="12" s="1"/>
  <c r="AT293" i="13"/>
  <c r="AQ348" i="12"/>
  <c r="AP361" i="12"/>
  <c r="AK187" i="12"/>
  <c r="AK61" i="2"/>
  <c r="AR57" i="2" s="1"/>
  <c r="AQ55" i="12"/>
  <c r="AQ64" i="12" s="1"/>
  <c r="AS95" i="12"/>
  <c r="AT95" i="12" s="1"/>
  <c r="AW95" i="12" s="1"/>
  <c r="AV104" i="12" s="1"/>
  <c r="AQ104" i="12"/>
  <c r="AK354" i="13"/>
  <c r="AL354" i="13" s="1"/>
  <c r="AV336" i="12"/>
  <c r="AW336" i="12" s="1"/>
  <c r="AT374" i="12"/>
  <c r="AG60" i="12"/>
  <c r="AH60" i="12" s="1"/>
  <c r="AU51" i="12"/>
  <c r="AQ60" i="12"/>
  <c r="AO417" i="13"/>
  <c r="AP417" i="13" s="1"/>
  <c r="AP434" i="13" s="1"/>
  <c r="AV294" i="12"/>
  <c r="AW294" i="12" s="1"/>
  <c r="W434" i="13"/>
  <c r="AL428" i="13"/>
  <c r="AV419" i="13"/>
  <c r="AV429" i="13"/>
  <c r="AW429" i="13" s="1"/>
  <c r="AY419" i="13"/>
  <c r="AW419" i="13"/>
  <c r="AK376" i="13"/>
  <c r="AL376" i="13" s="1"/>
  <c r="V382" i="13"/>
  <c r="AC382" i="13" s="1"/>
  <c r="AK382" i="13"/>
  <c r="AM382" i="13" s="1"/>
  <c r="AM365" i="13"/>
  <c r="AK355" i="13"/>
  <c r="AL355" i="13" s="1"/>
  <c r="AI347" i="13"/>
  <c r="AJ349" i="13"/>
  <c r="AM349" i="13" s="1"/>
  <c r="AK218" i="13"/>
  <c r="AL218" i="13" s="1"/>
  <c r="AU293" i="13"/>
  <c r="AX293" i="13" s="1"/>
  <c r="V332" i="13"/>
  <c r="V338" i="13" s="1"/>
  <c r="L338" i="13" s="1"/>
  <c r="AK325" i="13"/>
  <c r="AL325" i="13" s="1"/>
  <c r="AK315" i="13"/>
  <c r="AN315" i="13"/>
  <c r="AO315" i="13" s="1"/>
  <c r="AP315" i="13" s="1"/>
  <c r="V330" i="13"/>
  <c r="AC330" i="13" s="1"/>
  <c r="AK324" i="13"/>
  <c r="AK313" i="13"/>
  <c r="AN313" i="13"/>
  <c r="AO313" i="13" s="1"/>
  <c r="AP313" i="13" s="1"/>
  <c r="AL315" i="13"/>
  <c r="AL313" i="13"/>
  <c r="AO297" i="13"/>
  <c r="AP297" i="13" s="1"/>
  <c r="AQ297" i="13" s="1"/>
  <c r="AR297" i="13" s="1"/>
  <c r="AO299" i="13"/>
  <c r="AP299" i="13" s="1"/>
  <c r="AQ299" i="13" s="1"/>
  <c r="AR299" i="13" s="1"/>
  <c r="AK206" i="13"/>
  <c r="AQ280" i="13"/>
  <c r="AG280" i="13"/>
  <c r="AH280" i="13" s="1"/>
  <c r="AG286" i="13" s="1"/>
  <c r="X286" i="13" s="1"/>
  <c r="AK272" i="13"/>
  <c r="AL272" i="13" s="1"/>
  <c r="V278" i="13"/>
  <c r="AC278" i="13" s="1"/>
  <c r="AM261" i="13"/>
  <c r="AK278" i="13"/>
  <c r="AM278" i="13" s="1"/>
  <c r="AS306" i="12"/>
  <c r="AT306" i="12" s="1"/>
  <c r="AW306" i="12" s="1"/>
  <c r="AV319" i="12" s="1"/>
  <c r="AQ319" i="12"/>
  <c r="AH260" i="12"/>
  <c r="AI260" i="12" s="1"/>
  <c r="AL260" i="12" s="1"/>
  <c r="AM260" i="12" s="1"/>
  <c r="AF273" i="12"/>
  <c r="T273" i="12"/>
  <c r="U273" i="12" s="1"/>
  <c r="V273" i="12" s="1"/>
  <c r="V279" i="12" s="1"/>
  <c r="L279" i="12" s="1"/>
  <c r="AJ260" i="12"/>
  <c r="AS222" i="12"/>
  <c r="AT222" i="12" s="1"/>
  <c r="AW222" i="12" s="1"/>
  <c r="AV235" i="12" s="1"/>
  <c r="AQ235" i="12"/>
  <c r="AQ265" i="13"/>
  <c r="AN206" i="13"/>
  <c r="AN240" i="13" s="1"/>
  <c r="AO240" i="13" s="1"/>
  <c r="AP240" i="13" s="1"/>
  <c r="AQ240" i="13" s="1"/>
  <c r="AR240" i="13" s="1"/>
  <c r="AK261" i="13"/>
  <c r="AN261" i="13"/>
  <c r="AK63" i="13"/>
  <c r="AN63" i="13"/>
  <c r="AO63" i="13" s="1"/>
  <c r="AP63" i="13" s="1"/>
  <c r="AQ63" i="13" s="1"/>
  <c r="AQ74" i="13" s="1"/>
  <c r="AY191" i="13"/>
  <c r="AZ191" i="13" s="1"/>
  <c r="BA191" i="13" s="1"/>
  <c r="BB191" i="13" s="1"/>
  <c r="BC191" i="13" s="1"/>
  <c r="BD191" i="13" s="1"/>
  <c r="W223" i="13"/>
  <c r="V231" i="13"/>
  <c r="L231" i="13" s="1"/>
  <c r="V233" i="13"/>
  <c r="L233" i="13" s="1"/>
  <c r="AM206" i="13"/>
  <c r="AK223" i="13"/>
  <c r="AM223" i="13" s="1"/>
  <c r="AM210" i="13"/>
  <c r="AK227" i="13"/>
  <c r="AM227" i="13" s="1"/>
  <c r="AN107" i="13"/>
  <c r="AO107" i="13" s="1"/>
  <c r="AP107" i="13" s="1"/>
  <c r="AP118" i="13" s="1"/>
  <c r="BB193" i="13"/>
  <c r="BC193" i="13" s="1"/>
  <c r="BD193" i="13" s="1"/>
  <c r="AQ85" i="13"/>
  <c r="AQ96" i="13" s="1"/>
  <c r="AY147" i="13"/>
  <c r="AZ147" i="13" s="1"/>
  <c r="BA147" i="13" s="1"/>
  <c r="BB147" i="13" s="1"/>
  <c r="BC147" i="13" s="1"/>
  <c r="BD177" i="13"/>
  <c r="BD179" i="13"/>
  <c r="BD175" i="13"/>
  <c r="BF175" i="13" s="1"/>
  <c r="AU149" i="13"/>
  <c r="AX149" i="13" s="1"/>
  <c r="AM111" i="13"/>
  <c r="AY149" i="13"/>
  <c r="AZ149" i="13" s="1"/>
  <c r="BA149" i="13" s="1"/>
  <c r="BD151" i="13"/>
  <c r="BF151" i="13" s="1"/>
  <c r="AC122" i="13"/>
  <c r="AY113" i="13"/>
  <c r="AZ113" i="13" s="1"/>
  <c r="BA113" i="13" s="1"/>
  <c r="AS137" i="13"/>
  <c r="AY137" i="13" s="1"/>
  <c r="AZ137" i="13" s="1"/>
  <c r="BA137" i="13" s="1"/>
  <c r="AK74" i="13"/>
  <c r="AM74" i="13" s="1"/>
  <c r="AP120" i="13"/>
  <c r="AI124" i="13"/>
  <c r="AN124" i="13" s="1"/>
  <c r="AV124" i="13"/>
  <c r="AX124" i="13" s="1"/>
  <c r="AN111" i="13"/>
  <c r="AO111" i="13" s="1"/>
  <c r="AP111" i="13" s="1"/>
  <c r="AK37" i="13"/>
  <c r="AQ94" i="13"/>
  <c r="AG94" i="13"/>
  <c r="AW89" i="13"/>
  <c r="AV89" i="13"/>
  <c r="AY89" i="13"/>
  <c r="AZ89" i="13" s="1"/>
  <c r="BA89" i="13" s="1"/>
  <c r="AI100" i="13"/>
  <c r="AN100" i="13" s="1"/>
  <c r="AP98" i="13"/>
  <c r="AV76" i="13"/>
  <c r="AX76" i="13" s="1"/>
  <c r="AX65" i="13"/>
  <c r="AI76" i="13"/>
  <c r="AN76" i="13" s="1"/>
  <c r="AL59" i="13"/>
  <c r="AK70" i="13" s="1"/>
  <c r="AM70" i="13" s="1"/>
  <c r="AK59" i="13"/>
  <c r="V70" i="13"/>
  <c r="AC70" i="13" s="1"/>
  <c r="AY65" i="13"/>
  <c r="AZ65" i="13" s="1"/>
  <c r="BA65" i="13" s="1"/>
  <c r="AK61" i="13"/>
  <c r="AN52" i="13"/>
  <c r="BA52" i="13"/>
  <c r="AC46" i="13"/>
  <c r="AX41" i="13"/>
  <c r="BB41" i="13" s="1"/>
  <c r="AV52" i="13"/>
  <c r="AX52" i="13" s="1"/>
  <c r="AL39" i="13"/>
  <c r="AM39" i="13" s="1"/>
  <c r="AK39" i="13"/>
  <c r="AL35" i="13"/>
  <c r="AM35" i="13" s="1"/>
  <c r="AK35" i="13"/>
  <c r="AN59" i="13"/>
  <c r="AO59" i="13" s="1"/>
  <c r="AP59" i="13" s="1"/>
  <c r="AN35" i="13"/>
  <c r="AO35" i="13" s="1"/>
  <c r="AP35" i="13" s="1"/>
  <c r="AP46" i="13" s="1"/>
  <c r="AU17" i="13"/>
  <c r="AG28" i="13"/>
  <c r="AH28" i="13" s="1"/>
  <c r="AS17" i="13"/>
  <c r="AT17" i="13" s="1"/>
  <c r="AH11" i="13"/>
  <c r="AI11" i="13" s="1"/>
  <c r="AL11" i="13" s="1"/>
  <c r="AK218" i="12"/>
  <c r="AM87" i="13"/>
  <c r="AQ87" i="13" s="1"/>
  <c r="AQ98" i="13" s="1"/>
  <c r="AJ11" i="13"/>
  <c r="T22" i="13"/>
  <c r="AK227" i="12"/>
  <c r="AL227" i="12" s="1"/>
  <c r="AP235" i="12"/>
  <c r="AN39" i="13"/>
  <c r="AO39" i="13" s="1"/>
  <c r="AP39" i="13" s="1"/>
  <c r="AN218" i="12"/>
  <c r="AN244" i="12" s="1"/>
  <c r="AO244" i="12" s="1"/>
  <c r="AP244" i="12" s="1"/>
  <c r="AQ244" i="12" s="1"/>
  <c r="AR244" i="12" s="1"/>
  <c r="W227" i="13"/>
  <c r="W74" i="13"/>
  <c r="AU222" i="12"/>
  <c r="AN61" i="13"/>
  <c r="AO61" i="13" s="1"/>
  <c r="AP61" i="13" s="1"/>
  <c r="AG235" i="12"/>
  <c r="AH235" i="12" s="1"/>
  <c r="AI235" i="12" s="1"/>
  <c r="AJ235" i="12" s="1"/>
  <c r="AN37" i="13"/>
  <c r="AO37" i="13" s="1"/>
  <c r="AP37" i="13" s="1"/>
  <c r="W50" i="13"/>
  <c r="T26" i="13"/>
  <c r="U26" i="13" s="1"/>
  <c r="AJ15" i="13"/>
  <c r="V48" i="13"/>
  <c r="AC48" i="13" s="1"/>
  <c r="AL220" i="12"/>
  <c r="AK233" i="12" s="1"/>
  <c r="AM233" i="12" s="1"/>
  <c r="AN244" i="13"/>
  <c r="AO244" i="13" s="1"/>
  <c r="AP244" i="13" s="1"/>
  <c r="AQ244" i="13" s="1"/>
  <c r="AR244" i="13" s="1"/>
  <c r="AO210" i="13"/>
  <c r="AP210" i="13" s="1"/>
  <c r="AP227" i="13" s="1"/>
  <c r="AL61" i="13"/>
  <c r="AL37" i="13"/>
  <c r="AM109" i="13"/>
  <c r="AQ109" i="13" s="1"/>
  <c r="AQ120" i="13" s="1"/>
  <c r="AK120" i="13"/>
  <c r="AM120" i="13" s="1"/>
  <c r="AH15" i="13"/>
  <c r="AI15" i="13" s="1"/>
  <c r="AS133" i="13"/>
  <c r="AY133" i="13" s="1"/>
  <c r="AZ133" i="13" s="1"/>
  <c r="BA133" i="13" s="1"/>
  <c r="AK353" i="12"/>
  <c r="AL353" i="12" s="1"/>
  <c r="V72" i="13"/>
  <c r="AC72" i="13" s="1"/>
  <c r="AM107" i="13"/>
  <c r="AK346" i="12"/>
  <c r="AN330" i="12"/>
  <c r="AO330" i="12" s="1"/>
  <c r="AP330" i="12" s="1"/>
  <c r="AQ330" i="12" s="1"/>
  <c r="AR330" i="12" s="1"/>
  <c r="AQ35" i="12"/>
  <c r="AU35" i="12" s="1"/>
  <c r="AK15" i="12"/>
  <c r="AS75" i="12"/>
  <c r="AT75" i="12" s="1"/>
  <c r="AW75" i="12" s="1"/>
  <c r="AV84" i="12" s="1"/>
  <c r="AG84" i="12"/>
  <c r="AH84" i="12" s="1"/>
  <c r="AI84" i="12" s="1"/>
  <c r="AN84" i="12" s="1"/>
  <c r="AS84" i="12" s="1"/>
  <c r="AT84" i="12" s="1"/>
  <c r="AU84" i="12" s="1"/>
  <c r="AU75" i="12"/>
  <c r="AN15" i="12"/>
  <c r="AO15" i="12" s="1"/>
  <c r="AP15" i="12" s="1"/>
  <c r="V24" i="12"/>
  <c r="AC24" i="12" s="1"/>
  <c r="AL15" i="12"/>
  <c r="AC44" i="12"/>
  <c r="AK302" i="12"/>
  <c r="AO262" i="12"/>
  <c r="AP262" i="12" s="1"/>
  <c r="AP275" i="12" s="1"/>
  <c r="AK311" i="12"/>
  <c r="AL311" i="12" s="1"/>
  <c r="AN346" i="12"/>
  <c r="AO346" i="12" s="1"/>
  <c r="AP346" i="12" s="1"/>
  <c r="AP359" i="12" s="1"/>
  <c r="V363" i="12"/>
  <c r="L363" i="12" s="1"/>
  <c r="AK354" i="12"/>
  <c r="AU374" i="12"/>
  <c r="AW378" i="12"/>
  <c r="V359" i="12"/>
  <c r="V364" i="12" s="1"/>
  <c r="L364" i="12" s="1"/>
  <c r="AK344" i="12"/>
  <c r="AN344" i="12"/>
  <c r="AN370" i="12" s="1"/>
  <c r="AO370" i="12" s="1"/>
  <c r="AP370" i="12" s="1"/>
  <c r="AQ370" i="12" s="1"/>
  <c r="AR370" i="12" s="1"/>
  <c r="AL344" i="12"/>
  <c r="AM346" i="12"/>
  <c r="AL302" i="12"/>
  <c r="AK315" i="12" s="1"/>
  <c r="AM315" i="12" s="1"/>
  <c r="AN302" i="12"/>
  <c r="AN328" i="12" s="1"/>
  <c r="AO328" i="12" s="1"/>
  <c r="AP328" i="12" s="1"/>
  <c r="AQ328" i="12" s="1"/>
  <c r="AR328" i="12" s="1"/>
  <c r="AG319" i="12"/>
  <c r="AH319" i="12" s="1"/>
  <c r="AG323" i="12" s="1"/>
  <c r="X323" i="12" s="1"/>
  <c r="AU306" i="12"/>
  <c r="AT332" i="12"/>
  <c r="V321" i="12"/>
  <c r="L321" i="12" s="1"/>
  <c r="W315" i="12"/>
  <c r="AQ288" i="12"/>
  <c r="AR288" i="12" s="1"/>
  <c r="AK180" i="12"/>
  <c r="AC193" i="12"/>
  <c r="V197" i="12"/>
  <c r="L197" i="12" s="1"/>
  <c r="AK193" i="12"/>
  <c r="AM193" i="12" s="1"/>
  <c r="AS248" i="12"/>
  <c r="AU248" i="12" s="1"/>
  <c r="AM218" i="12"/>
  <c r="AK231" i="12"/>
  <c r="AM231" i="12" s="1"/>
  <c r="V238" i="12"/>
  <c r="L238" i="12" s="1"/>
  <c r="AK220" i="12"/>
  <c r="AN220" i="12"/>
  <c r="AK228" i="12"/>
  <c r="AN91" i="12"/>
  <c r="AO91" i="12" s="1"/>
  <c r="AP91" i="12" s="1"/>
  <c r="AL91" i="12"/>
  <c r="AG104" i="12"/>
  <c r="AH104" i="12" s="1"/>
  <c r="AU95" i="12"/>
  <c r="AK73" i="12"/>
  <c r="AN73" i="12"/>
  <c r="AO73" i="12" s="1"/>
  <c r="AP73" i="12" s="1"/>
  <c r="AK80" i="12"/>
  <c r="AM80" i="12" s="1"/>
  <c r="AM71" i="12"/>
  <c r="AS83" i="13" s="1"/>
  <c r="AT83" i="13" s="1"/>
  <c r="AS51" i="12"/>
  <c r="AT51" i="12" s="1"/>
  <c r="AW51" i="12" s="1"/>
  <c r="AV60" i="12" s="1"/>
  <c r="AK53" i="12"/>
  <c r="AN53" i="12"/>
  <c r="AO53" i="12" s="1"/>
  <c r="AP53" i="12" s="1"/>
  <c r="V42" i="12"/>
  <c r="AC42" i="12" s="1"/>
  <c r="AK33" i="12"/>
  <c r="AN33" i="12"/>
  <c r="AO33" i="12" s="1"/>
  <c r="AP33" i="12" s="1"/>
  <c r="AP42" i="12" s="1"/>
  <c r="AL73" i="12"/>
  <c r="AK82" i="12" s="1"/>
  <c r="AM82" i="12" s="1"/>
  <c r="AL33" i="12"/>
  <c r="AK42" i="12" s="1"/>
  <c r="AM42" i="12" s="1"/>
  <c r="AM93" i="12"/>
  <c r="AL53" i="12"/>
  <c r="W36" i="2"/>
  <c r="AK29" i="2"/>
  <c r="AS113" i="12"/>
  <c r="AU113" i="12" s="1"/>
  <c r="AC233" i="12"/>
  <c r="W68" i="2"/>
  <c r="AL75" i="2"/>
  <c r="AK82" i="2" s="1"/>
  <c r="V82" i="12"/>
  <c r="W82" i="12" s="1"/>
  <c r="V231" i="12"/>
  <c r="V237" i="12" s="1"/>
  <c r="L237" i="12" s="1"/>
  <c r="W80" i="12"/>
  <c r="AC62" i="12"/>
  <c r="AK184" i="2"/>
  <c r="AO182" i="2" s="1"/>
  <c r="AR41" i="2"/>
  <c r="AK216" i="2"/>
  <c r="AO214" i="2" s="1"/>
  <c r="AL242" i="2"/>
  <c r="AK251" i="2" s="1"/>
  <c r="AK248" i="2"/>
  <c r="AO246" i="2" s="1"/>
  <c r="AO247" i="2" s="1"/>
  <c r="AK274" i="2"/>
  <c r="AK280" i="2"/>
  <c r="AO278" i="2" s="1"/>
  <c r="AO279" i="2" s="1"/>
  <c r="AK27" i="2"/>
  <c r="Q95" i="2"/>
  <c r="R95" i="2" s="1"/>
  <c r="S95" i="2" s="1"/>
  <c r="AL274" i="2"/>
  <c r="AK283" i="2" s="1"/>
  <c r="V191" i="2"/>
  <c r="V223" i="2"/>
  <c r="L223" i="2" s="1"/>
  <c r="AK178" i="2"/>
  <c r="AR176" i="2" s="1"/>
  <c r="AR181" i="2" s="1"/>
  <c r="AG223" i="2"/>
  <c r="X223" i="2" s="1"/>
  <c r="AL178" i="2"/>
  <c r="AK187" i="2" s="1"/>
  <c r="W219" i="2"/>
  <c r="AI251" i="2"/>
  <c r="AJ251" i="2" s="1"/>
  <c r="AR249" i="2" s="1"/>
  <c r="AR253" i="2" s="1"/>
  <c r="V34" i="2"/>
  <c r="W34" i="2" s="1"/>
  <c r="AK242" i="2"/>
  <c r="AK210" i="2"/>
  <c r="AL210" i="2"/>
  <c r="AK219" i="2" s="1"/>
  <c r="AR47" i="2"/>
  <c r="W283" i="2"/>
  <c r="AI66" i="2"/>
  <c r="AJ66" i="2" s="1"/>
  <c r="AI283" i="2"/>
  <c r="AJ283" i="2" s="1"/>
  <c r="AG287" i="2"/>
  <c r="X287" i="2" s="1"/>
  <c r="V287" i="2"/>
  <c r="L287" i="2" s="1"/>
  <c r="AC187" i="2"/>
  <c r="AH187" i="2" s="1"/>
  <c r="AH84" i="2"/>
  <c r="P146" i="2"/>
  <c r="AG40" i="12" l="1"/>
  <c r="AH40" i="12" s="1"/>
  <c r="AI40" i="12" s="1"/>
  <c r="AU31" i="12"/>
  <c r="AQ40" i="12"/>
  <c r="AQ365" i="13"/>
  <c r="AQ382" i="13" s="1"/>
  <c r="AQ264" i="12"/>
  <c r="AQ277" i="12" s="1"/>
  <c r="AN401" i="13"/>
  <c r="AO401" i="13" s="1"/>
  <c r="AP401" i="13" s="1"/>
  <c r="AQ401" i="13" s="1"/>
  <c r="AR401" i="13" s="1"/>
  <c r="AS401" i="13" s="1"/>
  <c r="AV407" i="13" s="1"/>
  <c r="AW407" i="13" s="1"/>
  <c r="AG284" i="13"/>
  <c r="X284" i="13" s="1"/>
  <c r="AQ367" i="13"/>
  <c r="AS367" i="13" s="1"/>
  <c r="AT367" i="13" s="1"/>
  <c r="AV313" i="12"/>
  <c r="AW313" i="12" s="1"/>
  <c r="AQ417" i="13"/>
  <c r="AQ434" i="13" s="1"/>
  <c r="AU55" i="12"/>
  <c r="AG64" i="12"/>
  <c r="AH64" i="12" s="1"/>
  <c r="AI64" i="12" s="1"/>
  <c r="AJ64" i="12" s="1"/>
  <c r="AS55" i="12"/>
  <c r="AT55" i="12" s="1"/>
  <c r="AW55" i="12" s="1"/>
  <c r="AV64" i="12" s="1"/>
  <c r="AV31" i="12"/>
  <c r="V337" i="13"/>
  <c r="L337" i="13" s="1"/>
  <c r="AQ361" i="12"/>
  <c r="AS348" i="12"/>
  <c r="AT348" i="12" s="1"/>
  <c r="AG361" i="12"/>
  <c r="AH361" i="12" s="1"/>
  <c r="AU348" i="12"/>
  <c r="AK273" i="12"/>
  <c r="AM273" i="12" s="1"/>
  <c r="V389" i="13"/>
  <c r="L389" i="13" s="1"/>
  <c r="W382" i="13"/>
  <c r="AS451" i="13"/>
  <c r="AT451" i="13" s="1"/>
  <c r="AZ419" i="13"/>
  <c r="BA419" i="13" s="1"/>
  <c r="BA436" i="13" s="1"/>
  <c r="AY453" i="13"/>
  <c r="AZ453" i="13" s="1"/>
  <c r="BA453" i="13" s="1"/>
  <c r="BB453" i="13" s="1"/>
  <c r="BC453" i="13" s="1"/>
  <c r="AC332" i="13"/>
  <c r="AV252" i="12"/>
  <c r="AW252" i="12" s="1"/>
  <c r="AS330" i="12"/>
  <c r="AT330" i="12" s="1"/>
  <c r="AN260" i="12"/>
  <c r="AN286" i="12" s="1"/>
  <c r="AO286" i="12" s="1"/>
  <c r="AP286" i="12" s="1"/>
  <c r="AX419" i="13"/>
  <c r="AV436" i="13"/>
  <c r="AX436" i="13" s="1"/>
  <c r="AS35" i="12"/>
  <c r="AT35" i="12" s="1"/>
  <c r="AV35" i="12" s="1"/>
  <c r="AQ44" i="12"/>
  <c r="AP330" i="13"/>
  <c r="AM315" i="13"/>
  <c r="AQ315" i="13" s="1"/>
  <c r="AK332" i="13"/>
  <c r="AM332" i="13" s="1"/>
  <c r="AK330" i="13"/>
  <c r="AM330" i="13" s="1"/>
  <c r="AM313" i="13"/>
  <c r="AQ313" i="13" s="1"/>
  <c r="AL324" i="13"/>
  <c r="AP332" i="13"/>
  <c r="AS299" i="13"/>
  <c r="AV304" i="13" s="1"/>
  <c r="AW304" i="13" s="1"/>
  <c r="AS297" i="13"/>
  <c r="AV303" i="13" s="1"/>
  <c r="AW303" i="13" s="1"/>
  <c r="AO261" i="13"/>
  <c r="AP261" i="13" s="1"/>
  <c r="AP278" i="13" s="1"/>
  <c r="AN295" i="13"/>
  <c r="AO295" i="13" s="1"/>
  <c r="AP295" i="13" s="1"/>
  <c r="AQ295" i="13" s="1"/>
  <c r="AR295" i="13" s="1"/>
  <c r="AI280" i="13"/>
  <c r="AN280" i="13" s="1"/>
  <c r="AO206" i="13"/>
  <c r="AP206" i="13" s="1"/>
  <c r="AP223" i="13" s="1"/>
  <c r="AJ276" i="13"/>
  <c r="W278" i="13"/>
  <c r="AQ282" i="13"/>
  <c r="AG282" i="13"/>
  <c r="AH282" i="13" s="1"/>
  <c r="AU304" i="12"/>
  <c r="AQ317" i="12"/>
  <c r="AV306" i="12"/>
  <c r="AK269" i="12"/>
  <c r="AL269" i="12" s="1"/>
  <c r="AK260" i="12"/>
  <c r="AV229" i="12"/>
  <c r="AW229" i="12" s="1"/>
  <c r="AT248" i="12"/>
  <c r="AS244" i="12"/>
  <c r="AV250" i="12" s="1"/>
  <c r="AW250" i="12" s="1"/>
  <c r="AV222" i="12"/>
  <c r="AU265" i="13"/>
  <c r="AS265" i="13"/>
  <c r="AP74" i="13"/>
  <c r="AS244" i="13"/>
  <c r="AV250" i="13" s="1"/>
  <c r="AW250" i="13" s="1"/>
  <c r="AS240" i="13"/>
  <c r="AV248" i="13" s="1"/>
  <c r="AW248" i="13" s="1"/>
  <c r="AQ210" i="13"/>
  <c r="BB149" i="13"/>
  <c r="BC149" i="13" s="1"/>
  <c r="BD149" i="13" s="1"/>
  <c r="AQ107" i="13"/>
  <c r="AG118" i="13" s="1"/>
  <c r="AH118" i="13" s="1"/>
  <c r="BF191" i="13"/>
  <c r="BF193" i="13"/>
  <c r="BF177" i="13"/>
  <c r="BF179" i="13"/>
  <c r="AU137" i="13"/>
  <c r="AX137" i="13" s="1"/>
  <c r="BB137" i="13" s="1"/>
  <c r="BC137" i="13" s="1"/>
  <c r="BA124" i="13"/>
  <c r="BB113" i="13"/>
  <c r="AR124" i="13" s="1"/>
  <c r="AS124" i="13" s="1"/>
  <c r="BD147" i="13"/>
  <c r="AK15" i="13"/>
  <c r="AU133" i="13"/>
  <c r="AX133" i="13" s="1"/>
  <c r="AK46" i="13"/>
  <c r="AM46" i="13" s="1"/>
  <c r="AM59" i="13"/>
  <c r="AQ59" i="13" s="1"/>
  <c r="AS59" i="13" s="1"/>
  <c r="AT59" i="13" s="1"/>
  <c r="AQ111" i="13"/>
  <c r="AP122" i="13"/>
  <c r="AV100" i="13"/>
  <c r="AX100" i="13" s="1"/>
  <c r="AX89" i="13"/>
  <c r="AJ100" i="13"/>
  <c r="BA100" i="13"/>
  <c r="AW83" i="13"/>
  <c r="W70" i="13"/>
  <c r="AJ76" i="13"/>
  <c r="BA76" i="13"/>
  <c r="BB65" i="13"/>
  <c r="BD65" i="13" s="1"/>
  <c r="BE65" i="13" s="1"/>
  <c r="AP72" i="13"/>
  <c r="AP70" i="13"/>
  <c r="BF41" i="13"/>
  <c r="BB52" i="13"/>
  <c r="AR52" i="13"/>
  <c r="AS52" i="13" s="1"/>
  <c r="BD41" i="13"/>
  <c r="BE41" i="13" s="1"/>
  <c r="AK50" i="13"/>
  <c r="AM50" i="13" s="1"/>
  <c r="AQ39" i="13"/>
  <c r="AP48" i="13"/>
  <c r="AQ35" i="13"/>
  <c r="AU35" i="13" s="1"/>
  <c r="U22" i="13"/>
  <c r="V22" i="13" s="1"/>
  <c r="W22" i="13" s="1"/>
  <c r="AM11" i="13"/>
  <c r="AK22" i="13"/>
  <c r="AM22" i="13" s="1"/>
  <c r="AY17" i="13"/>
  <c r="AZ17" i="13" s="1"/>
  <c r="BA17" i="13" s="1"/>
  <c r="BA28" i="13" s="1"/>
  <c r="AI28" i="13"/>
  <c r="AN28" i="13" s="1"/>
  <c r="AW17" i="13"/>
  <c r="AV17" i="13"/>
  <c r="AK11" i="13"/>
  <c r="AM220" i="12"/>
  <c r="AN11" i="13"/>
  <c r="AO11" i="13" s="1"/>
  <c r="AP11" i="13" s="1"/>
  <c r="AP22" i="13" s="1"/>
  <c r="AS87" i="13"/>
  <c r="AT87" i="13" s="1"/>
  <c r="AO218" i="12"/>
  <c r="AP218" i="12" s="1"/>
  <c r="AP231" i="12" s="1"/>
  <c r="AP50" i="13"/>
  <c r="AN15" i="13"/>
  <c r="AO15" i="13" s="1"/>
  <c r="AP15" i="13" s="1"/>
  <c r="AP26" i="13" s="1"/>
  <c r="AG239" i="12"/>
  <c r="X239" i="12" s="1"/>
  <c r="V285" i="13"/>
  <c r="L285" i="13" s="1"/>
  <c r="W72" i="13"/>
  <c r="W48" i="13"/>
  <c r="AN347" i="13"/>
  <c r="AO347" i="13" s="1"/>
  <c r="AP347" i="13" s="1"/>
  <c r="AQ347" i="13" s="1"/>
  <c r="AR347" i="13" s="1"/>
  <c r="AM37" i="13"/>
  <c r="AQ37" i="13" s="1"/>
  <c r="AQ48" i="13" s="1"/>
  <c r="AK48" i="13"/>
  <c r="AM48" i="13" s="1"/>
  <c r="W332" i="13"/>
  <c r="AN399" i="13"/>
  <c r="AO399" i="13" s="1"/>
  <c r="AP399" i="13" s="1"/>
  <c r="AQ399" i="13" s="1"/>
  <c r="AR399" i="13" s="1"/>
  <c r="AS263" i="13"/>
  <c r="AU63" i="13"/>
  <c r="AG74" i="13"/>
  <c r="AH74" i="13" s="1"/>
  <c r="AS63" i="13"/>
  <c r="AT63" i="13" s="1"/>
  <c r="AK72" i="13"/>
  <c r="AM72" i="13" s="1"/>
  <c r="AM61" i="13"/>
  <c r="AQ61" i="13" s="1"/>
  <c r="AQ72" i="13" s="1"/>
  <c r="AL15" i="13"/>
  <c r="AM15" i="13" s="1"/>
  <c r="V26" i="13"/>
  <c r="W26" i="13" s="1"/>
  <c r="AQ93" i="12"/>
  <c r="AQ102" i="12" s="1"/>
  <c r="AS109" i="13"/>
  <c r="AT109" i="13" s="1"/>
  <c r="AU83" i="13"/>
  <c r="AV83" i="13" s="1"/>
  <c r="AH94" i="13"/>
  <c r="AG98" i="13"/>
  <c r="AH98" i="13" s="1"/>
  <c r="AU87" i="13"/>
  <c r="W330" i="13"/>
  <c r="L191" i="2"/>
  <c r="Y280" i="2"/>
  <c r="J287" i="2"/>
  <c r="Y248" i="2"/>
  <c r="J255" i="2"/>
  <c r="AQ262" i="12"/>
  <c r="AG44" i="12"/>
  <c r="AH44" i="12" s="1"/>
  <c r="AI44" i="12" s="1"/>
  <c r="AJ44" i="12" s="1"/>
  <c r="AM302" i="12"/>
  <c r="AG277" i="12"/>
  <c r="AH277" i="12" s="1"/>
  <c r="AI277" i="12" s="1"/>
  <c r="AJ277" i="12" s="1"/>
  <c r="AU264" i="12"/>
  <c r="AS264" i="12"/>
  <c r="AT264" i="12" s="1"/>
  <c r="AV75" i="12"/>
  <c r="AJ84" i="12"/>
  <c r="AK24" i="12"/>
  <c r="AM15" i="12"/>
  <c r="AQ15" i="12" s="1"/>
  <c r="AQ24" i="12" s="1"/>
  <c r="W24" i="12"/>
  <c r="AP24" i="12"/>
  <c r="AS304" i="12"/>
  <c r="AT304" i="12" s="1"/>
  <c r="AG317" i="12"/>
  <c r="AH317" i="12" s="1"/>
  <c r="AG322" i="12" s="1"/>
  <c r="X322" i="12" s="1"/>
  <c r="AN372" i="12"/>
  <c r="AO372" i="12" s="1"/>
  <c r="AP372" i="12" s="1"/>
  <c r="AQ372" i="12" s="1"/>
  <c r="AR372" i="12" s="1"/>
  <c r="AO302" i="12"/>
  <c r="AP302" i="12" s="1"/>
  <c r="AP315" i="12" s="1"/>
  <c r="AC359" i="12"/>
  <c r="W359" i="12"/>
  <c r="AM344" i="12"/>
  <c r="AK357" i="12"/>
  <c r="AM357" i="12" s="1"/>
  <c r="AS370" i="12"/>
  <c r="AV376" i="12" s="1"/>
  <c r="AO344" i="12"/>
  <c r="AP344" i="12" s="1"/>
  <c r="AP357" i="12" s="1"/>
  <c r="AQ346" i="12"/>
  <c r="AQ359" i="12" s="1"/>
  <c r="AI319" i="12"/>
  <c r="AJ319" i="12" s="1"/>
  <c r="AU330" i="12"/>
  <c r="AS328" i="12"/>
  <c r="AS288" i="12"/>
  <c r="AU288" i="12" s="1"/>
  <c r="AC273" i="12"/>
  <c r="W273" i="12"/>
  <c r="AN235" i="12"/>
  <c r="AS235" i="12" s="1"/>
  <c r="AO220" i="12"/>
  <c r="AP220" i="12" s="1"/>
  <c r="AP233" i="12" s="1"/>
  <c r="AN246" i="12"/>
  <c r="AO246" i="12" s="1"/>
  <c r="AP246" i="12" s="1"/>
  <c r="AC231" i="12"/>
  <c r="W231" i="12"/>
  <c r="AL228" i="12"/>
  <c r="AM91" i="12"/>
  <c r="AK100" i="12"/>
  <c r="AM100" i="12" s="1"/>
  <c r="AP100" i="12"/>
  <c r="AI104" i="12"/>
  <c r="AP82" i="12"/>
  <c r="AQ71" i="12"/>
  <c r="AV51" i="12"/>
  <c r="AP62" i="12"/>
  <c r="AM53" i="12"/>
  <c r="AK62" i="12"/>
  <c r="AM62" i="12" s="1"/>
  <c r="AI60" i="12"/>
  <c r="W42" i="12"/>
  <c r="AM73" i="12"/>
  <c r="AM33" i="12"/>
  <c r="AR63" i="2"/>
  <c r="AR25" i="2"/>
  <c r="T95" i="2"/>
  <c r="U95" i="2" s="1"/>
  <c r="V95" i="2" s="1"/>
  <c r="AC95" i="2" s="1"/>
  <c r="AD95" i="2" s="1"/>
  <c r="U115" i="12"/>
  <c r="W357" i="12"/>
  <c r="AC82" i="12"/>
  <c r="AL354" i="12"/>
  <c r="AO183" i="2"/>
  <c r="AO215" i="2"/>
  <c r="AL248" i="2"/>
  <c r="AL184" i="2"/>
  <c r="AL280" i="2"/>
  <c r="AL216" i="2"/>
  <c r="AC34" i="2"/>
  <c r="AH34" i="2" s="1"/>
  <c r="AI34" i="2" s="1"/>
  <c r="AJ34" i="2" s="1"/>
  <c r="AR31" i="2" s="1"/>
  <c r="AI84" i="2"/>
  <c r="S146" i="2"/>
  <c r="U150" i="2" s="1"/>
  <c r="O155" i="2"/>
  <c r="P155" i="2" s="1"/>
  <c r="AJ40" i="12" l="1"/>
  <c r="AN40" i="12"/>
  <c r="AS40" i="12" s="1"/>
  <c r="AS365" i="13"/>
  <c r="AT365" i="13" s="1"/>
  <c r="AW365" i="13" s="1"/>
  <c r="AG382" i="13"/>
  <c r="AH382" i="13" s="1"/>
  <c r="AG389" i="13" s="1"/>
  <c r="X389" i="13" s="1"/>
  <c r="AU365" i="13"/>
  <c r="AG384" i="13"/>
  <c r="AH384" i="13" s="1"/>
  <c r="AI384" i="13" s="1"/>
  <c r="AN384" i="13" s="1"/>
  <c r="AG434" i="13"/>
  <c r="AH434" i="13" s="1"/>
  <c r="AG441" i="13" s="1"/>
  <c r="X441" i="13" s="1"/>
  <c r="AU367" i="13"/>
  <c r="AY367" i="13" s="1"/>
  <c r="AZ367" i="13" s="1"/>
  <c r="BA367" i="13" s="1"/>
  <c r="BA384" i="13" s="1"/>
  <c r="AN64" i="12"/>
  <c r="AS64" i="12" s="1"/>
  <c r="AT64" i="12" s="1"/>
  <c r="AU64" i="12" s="1"/>
  <c r="AW367" i="13"/>
  <c r="AX367" i="13" s="1"/>
  <c r="AQ384" i="13"/>
  <c r="AV55" i="12"/>
  <c r="AO260" i="12"/>
  <c r="AP260" i="12" s="1"/>
  <c r="AP273" i="12" s="1"/>
  <c r="AU244" i="12"/>
  <c r="AG365" i="12"/>
  <c r="X365" i="12" s="1"/>
  <c r="AI361" i="12"/>
  <c r="AW348" i="12"/>
  <c r="AV361" i="12" s="1"/>
  <c r="AV355" i="12"/>
  <c r="AW355" i="12" s="1"/>
  <c r="AV348" i="12"/>
  <c r="BB419" i="13"/>
  <c r="AR436" i="13" s="1"/>
  <c r="AS436" i="13" s="1"/>
  <c r="AU451" i="13"/>
  <c r="AX451" i="13" s="1"/>
  <c r="AV458" i="13"/>
  <c r="AW458" i="13" s="1"/>
  <c r="AQ261" i="13"/>
  <c r="AQ278" i="13" s="1"/>
  <c r="AT244" i="12"/>
  <c r="AU401" i="13"/>
  <c r="AX401" i="13" s="1"/>
  <c r="AW35" i="12"/>
  <c r="AV44" i="12" s="1"/>
  <c r="AT370" i="12"/>
  <c r="AV293" i="12"/>
  <c r="AW293" i="12" s="1"/>
  <c r="BD453" i="13"/>
  <c r="BF453" i="13" s="1"/>
  <c r="AT401" i="13"/>
  <c r="AS71" i="12"/>
  <c r="AT71" i="12" s="1"/>
  <c r="AW71" i="12" s="1"/>
  <c r="AV80" i="12" s="1"/>
  <c r="AQ80" i="12"/>
  <c r="AS399" i="13"/>
  <c r="AU399" i="13" s="1"/>
  <c r="AX399" i="13" s="1"/>
  <c r="AT328" i="12"/>
  <c r="BD326" i="12" s="1"/>
  <c r="BD331" i="12" s="1"/>
  <c r="AV335" i="12"/>
  <c r="AW335" i="12" s="1"/>
  <c r="AV334" i="12"/>
  <c r="AW334" i="12" s="1"/>
  <c r="AS347" i="13"/>
  <c r="AV354" i="13" s="1"/>
  <c r="AW354" i="13" s="1"/>
  <c r="AQ330" i="13"/>
  <c r="AG330" i="13"/>
  <c r="AH330" i="13" s="1"/>
  <c r="AU313" i="13"/>
  <c r="AS315" i="13"/>
  <c r="AT315" i="13" s="1"/>
  <c r="AW315" i="13" s="1"/>
  <c r="AU315" i="13"/>
  <c r="AQ332" i="13"/>
  <c r="AG332" i="13"/>
  <c r="AH332" i="13" s="1"/>
  <c r="AS313" i="13"/>
  <c r="AT313" i="13" s="1"/>
  <c r="AS295" i="13"/>
  <c r="AU295" i="13" s="1"/>
  <c r="AX295" i="13" s="1"/>
  <c r="AU299" i="13"/>
  <c r="AX299" i="13" s="1"/>
  <c r="AT297" i="13"/>
  <c r="AT299" i="13"/>
  <c r="AU297" i="13"/>
  <c r="AX297" i="13" s="1"/>
  <c r="AJ280" i="13"/>
  <c r="AQ206" i="13"/>
  <c r="AG223" i="13" s="1"/>
  <c r="AH223" i="13" s="1"/>
  <c r="AI223" i="13" s="1"/>
  <c r="AJ223" i="13" s="1"/>
  <c r="AG287" i="13"/>
  <c r="X287" i="13" s="1"/>
  <c r="AI282" i="13"/>
  <c r="AN282" i="13" s="1"/>
  <c r="AV312" i="12"/>
  <c r="AW312" i="12" s="1"/>
  <c r="AV304" i="12"/>
  <c r="AW264" i="12"/>
  <c r="AV277" i="12" s="1"/>
  <c r="AV264" i="12"/>
  <c r="AG275" i="12"/>
  <c r="AH275" i="12" s="1"/>
  <c r="AI275" i="12" s="1"/>
  <c r="AN275" i="12" s="1"/>
  <c r="AS275" i="12" s="1"/>
  <c r="AQ275" i="12"/>
  <c r="AT263" i="13"/>
  <c r="AV273" i="13" s="1"/>
  <c r="AW273" i="13" s="1"/>
  <c r="AT265" i="13"/>
  <c r="AV274" i="13" s="1"/>
  <c r="AW274" i="13" s="1"/>
  <c r="AU244" i="13"/>
  <c r="AX244" i="13" s="1"/>
  <c r="AU240" i="13"/>
  <c r="AX240" i="13" s="1"/>
  <c r="AT240" i="13"/>
  <c r="AT244" i="13"/>
  <c r="AQ227" i="13"/>
  <c r="AG227" i="13"/>
  <c r="AH227" i="13" s="1"/>
  <c r="AU210" i="13"/>
  <c r="AS210" i="13"/>
  <c r="AT210" i="13" s="1"/>
  <c r="AQ118" i="13"/>
  <c r="BF147" i="13"/>
  <c r="BD137" i="13"/>
  <c r="BB124" i="13"/>
  <c r="BF113" i="13"/>
  <c r="BD113" i="13"/>
  <c r="BE113" i="13" s="1"/>
  <c r="BF149" i="13"/>
  <c r="BB133" i="13"/>
  <c r="BC133" i="13" s="1"/>
  <c r="AT124" i="13"/>
  <c r="AY124" i="13" s="1"/>
  <c r="BD124" i="13" s="1"/>
  <c r="AI118" i="13"/>
  <c r="AN118" i="13" s="1"/>
  <c r="AW109" i="13"/>
  <c r="AQ122" i="13"/>
  <c r="AS111" i="13"/>
  <c r="AT111" i="13" s="1"/>
  <c r="AG122" i="13"/>
  <c r="AH122" i="13" s="1"/>
  <c r="AI122" i="13" s="1"/>
  <c r="AN122" i="13" s="1"/>
  <c r="AU111" i="13"/>
  <c r="AW87" i="13"/>
  <c r="AV87" i="13"/>
  <c r="AY87" i="13"/>
  <c r="AZ87" i="13" s="1"/>
  <c r="BA87" i="13" s="1"/>
  <c r="AX83" i="13"/>
  <c r="AV94" i="13"/>
  <c r="AX94" i="13" s="1"/>
  <c r="AY83" i="13"/>
  <c r="AZ83" i="13" s="1"/>
  <c r="BA83" i="13" s="1"/>
  <c r="BB89" i="13"/>
  <c r="AG46" i="13"/>
  <c r="AH46" i="13" s="1"/>
  <c r="AI46" i="13" s="1"/>
  <c r="AJ46" i="13" s="1"/>
  <c r="BH65" i="13"/>
  <c r="BG76" i="13" s="1"/>
  <c r="AW59" i="13"/>
  <c r="AW63" i="13"/>
  <c r="AV63" i="13"/>
  <c r="AY63" i="13"/>
  <c r="AZ63" i="13" s="1"/>
  <c r="BA63" i="13" s="1"/>
  <c r="BB76" i="13"/>
  <c r="AR76" i="13"/>
  <c r="AS76" i="13" s="1"/>
  <c r="BF65" i="13"/>
  <c r="BG65" i="13" s="1"/>
  <c r="AG70" i="13"/>
  <c r="AH70" i="13" s="1"/>
  <c r="AQ70" i="13"/>
  <c r="AU59" i="13"/>
  <c r="AV59" i="13" s="1"/>
  <c r="BG41" i="13"/>
  <c r="AS39" i="13"/>
  <c r="AT39" i="13" s="1"/>
  <c r="AW39" i="13" s="1"/>
  <c r="AQ50" i="13"/>
  <c r="AT52" i="13"/>
  <c r="AU52" i="13" s="1"/>
  <c r="AS35" i="13"/>
  <c r="AT35" i="13" s="1"/>
  <c r="AW35" i="13" s="1"/>
  <c r="AQ46" i="13"/>
  <c r="BH41" i="13"/>
  <c r="BG52" i="13" s="1"/>
  <c r="AU39" i="13"/>
  <c r="AG50" i="13"/>
  <c r="AH50" i="13" s="1"/>
  <c r="AC22" i="13"/>
  <c r="AJ28" i="13"/>
  <c r="AV28" i="13"/>
  <c r="AX28" i="13" s="1"/>
  <c r="AX17" i="13"/>
  <c r="AQ11" i="13"/>
  <c r="AS93" i="12"/>
  <c r="AT93" i="12" s="1"/>
  <c r="AW93" i="12" s="1"/>
  <c r="AV102" i="12" s="1"/>
  <c r="AQ218" i="12"/>
  <c r="AG231" i="12" s="1"/>
  <c r="AH231" i="12" s="1"/>
  <c r="AU93" i="12"/>
  <c r="AC26" i="13"/>
  <c r="AU417" i="13"/>
  <c r="AS417" i="13"/>
  <c r="AT417" i="13" s="1"/>
  <c r="AI94" i="13"/>
  <c r="AJ94" i="13" s="1"/>
  <c r="AQ33" i="12"/>
  <c r="AS37" i="13"/>
  <c r="AT37" i="13" s="1"/>
  <c r="AG102" i="12"/>
  <c r="AH102" i="12" s="1"/>
  <c r="AI102" i="12" s="1"/>
  <c r="AQ91" i="12"/>
  <c r="AK26" i="13"/>
  <c r="AM26" i="13" s="1"/>
  <c r="AQ15" i="13"/>
  <c r="AQ26" i="13" s="1"/>
  <c r="AI74" i="13"/>
  <c r="AN74" i="13" s="1"/>
  <c r="AN349" i="13"/>
  <c r="AO349" i="13" s="1"/>
  <c r="AP349" i="13" s="1"/>
  <c r="AQ349" i="13" s="1"/>
  <c r="AR349" i="13" s="1"/>
  <c r="AU109" i="13"/>
  <c r="AG120" i="13"/>
  <c r="AH120" i="13" s="1"/>
  <c r="AS259" i="13"/>
  <c r="AQ73" i="12"/>
  <c r="AQ53" i="12"/>
  <c r="AS61" i="13"/>
  <c r="AT61" i="13" s="1"/>
  <c r="AI98" i="13"/>
  <c r="AJ98" i="13" s="1"/>
  <c r="Y216" i="2"/>
  <c r="Z215" i="2" s="1"/>
  <c r="AA215" i="2" s="1"/>
  <c r="J223" i="2"/>
  <c r="Y184" i="2"/>
  <c r="Z183" i="2" s="1"/>
  <c r="AA183" i="2" s="1"/>
  <c r="J191" i="2"/>
  <c r="J288" i="2"/>
  <c r="K288" i="2" s="1"/>
  <c r="K287" i="2"/>
  <c r="M289" i="2" s="1"/>
  <c r="M287" i="2" s="1"/>
  <c r="O287" i="2" s="1"/>
  <c r="J256" i="2"/>
  <c r="K256" i="2" s="1"/>
  <c r="K255" i="2"/>
  <c r="AS262" i="12"/>
  <c r="AT262" i="12" s="1"/>
  <c r="AV271" i="12"/>
  <c r="AW271" i="12" s="1"/>
  <c r="AU262" i="12"/>
  <c r="AN277" i="12"/>
  <c r="AS277" i="12" s="1"/>
  <c r="AG281" i="12"/>
  <c r="X281" i="12" s="1"/>
  <c r="AW304" i="12"/>
  <c r="AV317" i="12" s="1"/>
  <c r="AN44" i="12"/>
  <c r="AS44" i="12" s="1"/>
  <c r="AT44" i="12" s="1"/>
  <c r="AU44" i="12" s="1"/>
  <c r="AG24" i="12"/>
  <c r="AH24" i="12" s="1"/>
  <c r="AU15" i="12"/>
  <c r="AS15" i="12"/>
  <c r="AT15" i="12" s="1"/>
  <c r="AQ302" i="12"/>
  <c r="AQ315" i="12" s="1"/>
  <c r="AI317" i="12"/>
  <c r="AJ317" i="12" s="1"/>
  <c r="AN319" i="12"/>
  <c r="AS319" i="12" s="1"/>
  <c r="AS372" i="12"/>
  <c r="AW376" i="12"/>
  <c r="AG359" i="12"/>
  <c r="AH359" i="12" s="1"/>
  <c r="AU370" i="12"/>
  <c r="AU346" i="12"/>
  <c r="AS346" i="12"/>
  <c r="AT346" i="12" s="1"/>
  <c r="AQ344" i="12"/>
  <c r="AQ357" i="12" s="1"/>
  <c r="AU328" i="12"/>
  <c r="AQ286" i="12"/>
  <c r="AR286" i="12" s="1"/>
  <c r="AT288" i="12"/>
  <c r="AT235" i="12"/>
  <c r="AR239" i="12" s="1"/>
  <c r="AI239" i="12" s="1"/>
  <c r="AQ246" i="12"/>
  <c r="AR246" i="12" s="1"/>
  <c r="AQ220" i="12"/>
  <c r="AN104" i="12"/>
  <c r="AS104" i="12" s="1"/>
  <c r="AT104" i="12" s="1"/>
  <c r="AU71" i="12"/>
  <c r="AG80" i="12"/>
  <c r="AH80" i="12" s="1"/>
  <c r="AN60" i="12"/>
  <c r="AS60" i="12" s="1"/>
  <c r="AJ60" i="12"/>
  <c r="AT40" i="12"/>
  <c r="AU40" i="12" s="1"/>
  <c r="V115" i="12"/>
  <c r="Z246" i="2"/>
  <c r="AA246" i="2" s="1"/>
  <c r="Z247" i="2"/>
  <c r="AA247" i="2" s="1"/>
  <c r="Z279" i="2"/>
  <c r="AA279" i="2" s="1"/>
  <c r="Z278" i="2"/>
  <c r="AA278" i="2" s="1"/>
  <c r="U146" i="2"/>
  <c r="S155" i="2" s="1"/>
  <c r="T146" i="2"/>
  <c r="V146" i="2" s="1"/>
  <c r="R155" i="2"/>
  <c r="AI187" i="2"/>
  <c r="AJ187" i="2" s="1"/>
  <c r="AG191" i="2"/>
  <c r="X191" i="2" s="1"/>
  <c r="X95" i="2"/>
  <c r="AB95" i="2" s="1"/>
  <c r="D26" i="1"/>
  <c r="E26" i="1" s="1"/>
  <c r="D21" i="1"/>
  <c r="E21" i="1" s="1"/>
  <c r="AI382" i="13" l="1"/>
  <c r="AN382" i="13" s="1"/>
  <c r="AV376" i="13"/>
  <c r="AW376" i="13" s="1"/>
  <c r="AY365" i="13"/>
  <c r="AZ365" i="13" s="1"/>
  <c r="BA365" i="13" s="1"/>
  <c r="BA382" i="13" s="1"/>
  <c r="AV365" i="13"/>
  <c r="AV384" i="13"/>
  <c r="AX384" i="13" s="1"/>
  <c r="AG390" i="13"/>
  <c r="X390" i="13" s="1"/>
  <c r="AI434" i="13"/>
  <c r="AJ434" i="13" s="1"/>
  <c r="AV377" i="13"/>
  <c r="AW377" i="13" s="1"/>
  <c r="AY401" i="13"/>
  <c r="AZ401" i="13" s="1"/>
  <c r="BA401" i="13" s="1"/>
  <c r="BB401" i="13" s="1"/>
  <c r="BC401" i="13" s="1"/>
  <c r="AV367" i="13"/>
  <c r="AS261" i="13"/>
  <c r="AT261" i="13" s="1"/>
  <c r="AQ260" i="12"/>
  <c r="AQ273" i="12" s="1"/>
  <c r="AG278" i="13"/>
  <c r="AH278" i="13" s="1"/>
  <c r="AI278" i="13" s="1"/>
  <c r="AN278" i="13" s="1"/>
  <c r="BB436" i="13"/>
  <c r="BF419" i="13"/>
  <c r="BE453" i="13"/>
  <c r="BD330" i="12"/>
  <c r="BD419" i="13"/>
  <c r="BE419" i="13" s="1"/>
  <c r="BH419" i="13" s="1"/>
  <c r="BG436" i="13" s="1"/>
  <c r="BG459" i="13"/>
  <c r="BH459" i="13" s="1"/>
  <c r="BB367" i="13"/>
  <c r="AR384" i="13" s="1"/>
  <c r="AS384" i="13" s="1"/>
  <c r="AU347" i="13"/>
  <c r="AX347" i="13" s="1"/>
  <c r="AN361" i="12"/>
  <c r="AS361" i="12" s="1"/>
  <c r="AT361" i="12" s="1"/>
  <c r="AR365" i="12" s="1"/>
  <c r="AI365" i="12" s="1"/>
  <c r="AJ361" i="12"/>
  <c r="AU261" i="13"/>
  <c r="AT399" i="13"/>
  <c r="AG280" i="12"/>
  <c r="X280" i="12" s="1"/>
  <c r="AV302" i="13"/>
  <c r="AW302" i="13" s="1"/>
  <c r="AG62" i="12"/>
  <c r="AH62" i="12" s="1"/>
  <c r="AI62" i="12" s="1"/>
  <c r="AN62" i="12" s="1"/>
  <c r="AS62" i="12" s="1"/>
  <c r="AQ62" i="12"/>
  <c r="AV377" i="12"/>
  <c r="AW377" i="12" s="1"/>
  <c r="AG82" i="12"/>
  <c r="AH82" i="12" s="1"/>
  <c r="AI82" i="12" s="1"/>
  <c r="AQ82" i="12"/>
  <c r="AG42" i="12"/>
  <c r="AH42" i="12" s="1"/>
  <c r="AI42" i="12" s="1"/>
  <c r="AN42" i="12" s="1"/>
  <c r="AS42" i="12" s="1"/>
  <c r="AQ42" i="12"/>
  <c r="AU91" i="12"/>
  <c r="AQ100" i="12"/>
  <c r="AT295" i="13"/>
  <c r="AV406" i="13"/>
  <c r="AW406" i="13" s="1"/>
  <c r="AV71" i="12"/>
  <c r="AS33" i="12"/>
  <c r="AT33" i="12" s="1"/>
  <c r="AG237" i="12"/>
  <c r="X237" i="12" s="1"/>
  <c r="AT372" i="12"/>
  <c r="BD368" i="12" s="1"/>
  <c r="BD373" i="12" s="1"/>
  <c r="AT436" i="13"/>
  <c r="AY436" i="13" s="1"/>
  <c r="BD436" i="13" s="1"/>
  <c r="AV428" i="13"/>
  <c r="AV417" i="13"/>
  <c r="AY417" i="13"/>
  <c r="AW417" i="13"/>
  <c r="AV382" i="13"/>
  <c r="AX382" i="13" s="1"/>
  <c r="AX365" i="13"/>
  <c r="AT347" i="13"/>
  <c r="AS349" i="13"/>
  <c r="AV355" i="13" s="1"/>
  <c r="AW355" i="13" s="1"/>
  <c r="AU206" i="13"/>
  <c r="AQ223" i="13"/>
  <c r="AX315" i="13"/>
  <c r="AV332" i="13"/>
  <c r="AX332" i="13" s="1"/>
  <c r="AV324" i="13"/>
  <c r="AV313" i="13"/>
  <c r="AY313" i="13"/>
  <c r="AG337" i="13"/>
  <c r="X337" i="13" s="1"/>
  <c r="AI330" i="13"/>
  <c r="AN330" i="13" s="1"/>
  <c r="AI332" i="13"/>
  <c r="AN332" i="13" s="1"/>
  <c r="AG338" i="13"/>
  <c r="X338" i="13" s="1"/>
  <c r="AW313" i="13"/>
  <c r="AV325" i="13"/>
  <c r="AW325" i="13" s="1"/>
  <c r="AV315" i="13"/>
  <c r="AY315" i="13"/>
  <c r="AJ282" i="13"/>
  <c r="AV346" i="12"/>
  <c r="AT319" i="12"/>
  <c r="AU319" i="12" s="1"/>
  <c r="AW262" i="12"/>
  <c r="AV275" i="12" s="1"/>
  <c r="AV262" i="12"/>
  <c r="AT277" i="12"/>
  <c r="AU277" i="12" s="1"/>
  <c r="AU218" i="12"/>
  <c r="AQ231" i="12"/>
  <c r="AG233" i="12"/>
  <c r="AH233" i="12" s="1"/>
  <c r="AI233" i="12" s="1"/>
  <c r="AQ233" i="12"/>
  <c r="AS218" i="12"/>
  <c r="AT218" i="12" s="1"/>
  <c r="AV218" i="12" s="1"/>
  <c r="AS246" i="12"/>
  <c r="AU246" i="12" s="1"/>
  <c r="AU235" i="12"/>
  <c r="AV263" i="13"/>
  <c r="AY263" i="13"/>
  <c r="AW263" i="13"/>
  <c r="AV280" i="13" s="1"/>
  <c r="AX280" i="13" s="1"/>
  <c r="AV265" i="13"/>
  <c r="AY265" i="13"/>
  <c r="AW265" i="13"/>
  <c r="AV282" i="13" s="1"/>
  <c r="AX282" i="13" s="1"/>
  <c r="AT259" i="13"/>
  <c r="AV271" i="13" s="1"/>
  <c r="AV220" i="13"/>
  <c r="AN223" i="13"/>
  <c r="AG231" i="13"/>
  <c r="X231" i="13" s="1"/>
  <c r="AI227" i="13"/>
  <c r="AG233" i="13" s="1"/>
  <c r="AV210" i="13"/>
  <c r="AY210" i="13"/>
  <c r="AW210" i="13"/>
  <c r="BE124" i="13"/>
  <c r="BD133" i="13"/>
  <c r="BF133" i="13" s="1"/>
  <c r="BF137" i="13"/>
  <c r="BH113" i="13"/>
  <c r="BG124" i="13" s="1"/>
  <c r="AY109" i="13"/>
  <c r="AZ109" i="13" s="1"/>
  <c r="BA109" i="13" s="1"/>
  <c r="AW111" i="13"/>
  <c r="AY111" i="13"/>
  <c r="AZ111" i="13" s="1"/>
  <c r="BA111" i="13" s="1"/>
  <c r="AV120" i="13"/>
  <c r="AX120" i="13" s="1"/>
  <c r="AX109" i="13"/>
  <c r="AY59" i="13"/>
  <c r="AZ59" i="13" s="1"/>
  <c r="BA59" i="13" s="1"/>
  <c r="BA70" i="13" s="1"/>
  <c r="BA98" i="13"/>
  <c r="BF89" i="13"/>
  <c r="AR100" i="13"/>
  <c r="AS100" i="13" s="1"/>
  <c r="BB100" i="13"/>
  <c r="BD89" i="13"/>
  <c r="BE89" i="13" s="1"/>
  <c r="BA94" i="13"/>
  <c r="BB83" i="13"/>
  <c r="BD83" i="13" s="1"/>
  <c r="BE83" i="13" s="1"/>
  <c r="AV98" i="13"/>
  <c r="AX98" i="13" s="1"/>
  <c r="AX87" i="13"/>
  <c r="AN94" i="13"/>
  <c r="AI70" i="13"/>
  <c r="AN70" i="13" s="1"/>
  <c r="AX59" i="13"/>
  <c r="AV70" i="13"/>
  <c r="AX70" i="13" s="1"/>
  <c r="AY39" i="13"/>
  <c r="AZ39" i="13" s="1"/>
  <c r="BA39" i="13" s="1"/>
  <c r="AT76" i="13"/>
  <c r="AU76" i="13" s="1"/>
  <c r="BA74" i="13"/>
  <c r="AW61" i="13"/>
  <c r="AY35" i="13"/>
  <c r="AZ35" i="13" s="1"/>
  <c r="BA35" i="13" s="1"/>
  <c r="BA46" i="13" s="1"/>
  <c r="AV74" i="13"/>
  <c r="AX74" i="13" s="1"/>
  <c r="AX63" i="13"/>
  <c r="BB63" i="13" s="1"/>
  <c r="AX39" i="13"/>
  <c r="AV50" i="13"/>
  <c r="AX50" i="13" s="1"/>
  <c r="AX35" i="13"/>
  <c r="AV46" i="13"/>
  <c r="AX46" i="13" s="1"/>
  <c r="AY52" i="13"/>
  <c r="BD52" i="13" s="1"/>
  <c r="AV35" i="13"/>
  <c r="AN46" i="13"/>
  <c r="AV39" i="13"/>
  <c r="AI50" i="13"/>
  <c r="AJ50" i="13" s="1"/>
  <c r="AW37" i="13"/>
  <c r="AG22" i="13"/>
  <c r="AH22" i="13" s="1"/>
  <c r="AQ22" i="13"/>
  <c r="AU15" i="13"/>
  <c r="BB17" i="13"/>
  <c r="W287" i="2"/>
  <c r="Y289" i="2" s="1"/>
  <c r="Y287" i="2" s="1"/>
  <c r="AA287" i="2" s="1"/>
  <c r="Z214" i="2"/>
  <c r="AA214" i="2" s="1"/>
  <c r="AS15" i="13"/>
  <c r="AT15" i="13" s="1"/>
  <c r="AG26" i="13"/>
  <c r="AH26" i="13" s="1"/>
  <c r="AI26" i="13" s="1"/>
  <c r="AU53" i="12"/>
  <c r="AS53" i="12"/>
  <c r="AT53" i="12" s="1"/>
  <c r="AW53" i="12" s="1"/>
  <c r="AV62" i="12" s="1"/>
  <c r="AS91" i="12"/>
  <c r="AT91" i="12" s="1"/>
  <c r="AS73" i="12"/>
  <c r="AT73" i="12" s="1"/>
  <c r="AW73" i="12" s="1"/>
  <c r="AV82" i="12" s="1"/>
  <c r="AU73" i="12"/>
  <c r="AG100" i="12"/>
  <c r="AH100" i="12" s="1"/>
  <c r="AI100" i="12" s="1"/>
  <c r="AN100" i="12" s="1"/>
  <c r="AS100" i="12" s="1"/>
  <c r="AU33" i="12"/>
  <c r="AJ74" i="13"/>
  <c r="AG48" i="13"/>
  <c r="AH48" i="13" s="1"/>
  <c r="AU37" i="13"/>
  <c r="AY37" i="13" s="1"/>
  <c r="AZ37" i="13" s="1"/>
  <c r="BA37" i="13" s="1"/>
  <c r="AN98" i="13"/>
  <c r="AS85" i="13"/>
  <c r="AT85" i="13" s="1"/>
  <c r="AG96" i="13"/>
  <c r="AH96" i="13" s="1"/>
  <c r="AU85" i="13"/>
  <c r="AU107" i="13"/>
  <c r="AS107" i="13"/>
  <c r="AT107" i="13" s="1"/>
  <c r="AG72" i="13"/>
  <c r="AH72" i="13" s="1"/>
  <c r="AU61" i="13"/>
  <c r="AV61" i="13" s="1"/>
  <c r="AI120" i="13"/>
  <c r="M258" i="2"/>
  <c r="M256" i="2" s="1"/>
  <c r="O256" i="2" s="1"/>
  <c r="M290" i="2"/>
  <c r="M288" i="2" s="1"/>
  <c r="O288" i="2" s="1"/>
  <c r="J224" i="2"/>
  <c r="K224" i="2" s="1"/>
  <c r="K223" i="2"/>
  <c r="Z182" i="2"/>
  <c r="AA182" i="2" s="1"/>
  <c r="M257" i="2"/>
  <c r="M255" i="2" s="1"/>
  <c r="O255" i="2" s="1"/>
  <c r="J192" i="2"/>
  <c r="K192" i="2" s="1"/>
  <c r="K191" i="2"/>
  <c r="M193" i="2" s="1"/>
  <c r="AV270" i="12"/>
  <c r="AW270" i="12" s="1"/>
  <c r="AV15" i="12"/>
  <c r="AI24" i="12"/>
  <c r="AM24" i="12" s="1"/>
  <c r="AW15" i="12"/>
  <c r="AV24" i="12" s="1"/>
  <c r="AG315" i="12"/>
  <c r="AH315" i="12" s="1"/>
  <c r="AG321" i="12" s="1"/>
  <c r="X321" i="12" s="1"/>
  <c r="AU302" i="12"/>
  <c r="AN317" i="12"/>
  <c r="AS317" i="12" s="1"/>
  <c r="AU372" i="12"/>
  <c r="AG364" i="12"/>
  <c r="X364" i="12" s="1"/>
  <c r="AI359" i="12"/>
  <c r="AN359" i="12" s="1"/>
  <c r="AS359" i="12" s="1"/>
  <c r="AT359" i="12" s="1"/>
  <c r="AU359" i="12" s="1"/>
  <c r="AG357" i="12"/>
  <c r="AH357" i="12" s="1"/>
  <c r="AU344" i="12"/>
  <c r="AS344" i="12"/>
  <c r="AT344" i="12" s="1"/>
  <c r="AW346" i="12"/>
  <c r="AV359" i="12" s="1"/>
  <c r="AV354" i="12"/>
  <c r="AW354" i="12" s="1"/>
  <c r="BD328" i="12"/>
  <c r="Q89" i="7"/>
  <c r="AS302" i="12"/>
  <c r="AT302" i="12" s="1"/>
  <c r="AJ275" i="12"/>
  <c r="AS286" i="12"/>
  <c r="AV292" i="12" s="1"/>
  <c r="AT275" i="12"/>
  <c r="AR280" i="12" s="1"/>
  <c r="AI280" i="12" s="1"/>
  <c r="AS220" i="12"/>
  <c r="AT220" i="12" s="1"/>
  <c r="AU220" i="12"/>
  <c r="AI231" i="12"/>
  <c r="AN231" i="12" s="1"/>
  <c r="AS231" i="12" s="1"/>
  <c r="AN102" i="12"/>
  <c r="AS102" i="12" s="1"/>
  <c r="AI80" i="12"/>
  <c r="AJ80" i="12" s="1"/>
  <c r="AT60" i="12"/>
  <c r="AU60" i="12" s="1"/>
  <c r="AA178" i="12"/>
  <c r="AC178" i="12"/>
  <c r="AC115" i="12"/>
  <c r="AD115" i="12" s="1"/>
  <c r="X115" i="12"/>
  <c r="AB115" i="12" s="1"/>
  <c r="AG135" i="13" s="1"/>
  <c r="X176" i="12"/>
  <c r="AJ280" i="2"/>
  <c r="AK279" i="2" s="1"/>
  <c r="AL279" i="2" s="1"/>
  <c r="AJ248" i="2"/>
  <c r="J155" i="2"/>
  <c r="K155" i="2" s="1"/>
  <c r="W146" i="2"/>
  <c r="X146" i="2" s="1"/>
  <c r="AA148" i="2"/>
  <c r="AC148" i="2"/>
  <c r="AY399" i="13" l="1"/>
  <c r="AZ399" i="13" s="1"/>
  <c r="BA399" i="13" s="1"/>
  <c r="BB399" i="13" s="1"/>
  <c r="BC399" i="13" s="1"/>
  <c r="BD399" i="13" s="1"/>
  <c r="BG406" i="13" s="1"/>
  <c r="BH406" i="13" s="1"/>
  <c r="AU260" i="12"/>
  <c r="AG273" i="12"/>
  <c r="AH273" i="12" s="1"/>
  <c r="AG279" i="12" s="1"/>
  <c r="X279" i="12" s="1"/>
  <c r="BB384" i="13"/>
  <c r="AN434" i="13"/>
  <c r="AU361" i="12"/>
  <c r="AW218" i="12"/>
  <c r="AV231" i="12" s="1"/>
  <c r="AG285" i="13"/>
  <c r="X285" i="13" s="1"/>
  <c r="BD367" i="13"/>
  <c r="BE367" i="13" s="1"/>
  <c r="BH367" i="13" s="1"/>
  <c r="BG384" i="13" s="1"/>
  <c r="AS260" i="12"/>
  <c r="AT260" i="12" s="1"/>
  <c r="AV269" i="12" s="1"/>
  <c r="BA266" i="12" s="1"/>
  <c r="BA267" i="12" s="1"/>
  <c r="AJ216" i="2"/>
  <c r="AK215" i="2" s="1"/>
  <c r="AL215" i="2" s="1"/>
  <c r="BF367" i="13"/>
  <c r="BG429" i="13"/>
  <c r="BH429" i="13" s="1"/>
  <c r="BD372" i="12"/>
  <c r="BG419" i="13"/>
  <c r="AV227" i="12"/>
  <c r="AW227" i="12" s="1"/>
  <c r="BB365" i="13"/>
  <c r="BF365" i="13" s="1"/>
  <c r="AV272" i="13"/>
  <c r="AW272" i="13" s="1"/>
  <c r="AJ82" i="12"/>
  <c r="AJ233" i="12"/>
  <c r="AR281" i="12"/>
  <c r="AI281" i="12" s="1"/>
  <c r="AN82" i="12"/>
  <c r="AS82" i="12" s="1"/>
  <c r="AT82" i="12" s="1"/>
  <c r="AU82" i="12" s="1"/>
  <c r="AR323" i="12"/>
  <c r="AI323" i="12" s="1"/>
  <c r="BD370" i="12"/>
  <c r="Q97" i="7"/>
  <c r="W256" i="2"/>
  <c r="Y258" i="2" s="1"/>
  <c r="AT100" i="12"/>
  <c r="AW91" i="12"/>
  <c r="AV100" i="12" s="1"/>
  <c r="AZ417" i="13"/>
  <c r="BA417" i="13" s="1"/>
  <c r="BA434" i="13" s="1"/>
  <c r="AY451" i="13"/>
  <c r="AZ451" i="13" s="1"/>
  <c r="BA451" i="13" s="1"/>
  <c r="BB451" i="13" s="1"/>
  <c r="BC451" i="13" s="1"/>
  <c r="BD401" i="13"/>
  <c r="BE401" i="13" s="1"/>
  <c r="AJ231" i="12"/>
  <c r="AT246" i="12"/>
  <c r="BD242" i="12" s="1"/>
  <c r="AU349" i="13"/>
  <c r="AX349" i="13" s="1"/>
  <c r="AV251" i="12"/>
  <c r="AW251" i="12" s="1"/>
  <c r="AR442" i="13"/>
  <c r="AI442" i="13" s="1"/>
  <c r="BE436" i="13"/>
  <c r="BC442" i="13" s="1"/>
  <c r="AT442" i="13" s="1"/>
  <c r="AX417" i="13"/>
  <c r="AV434" i="13"/>
  <c r="AX434" i="13" s="1"/>
  <c r="AU436" i="13"/>
  <c r="AW428" i="13"/>
  <c r="AT384" i="13"/>
  <c r="AY384" i="13" s="1"/>
  <c r="BD384" i="13" s="1"/>
  <c r="AT349" i="13"/>
  <c r="AZ315" i="13"/>
  <c r="BA315" i="13" s="1"/>
  <c r="BB315" i="13" s="1"/>
  <c r="AY349" i="13"/>
  <c r="AZ349" i="13" s="1"/>
  <c r="BA349" i="13" s="1"/>
  <c r="AZ313" i="13"/>
  <c r="BA313" i="13" s="1"/>
  <c r="BA330" i="13" s="1"/>
  <c r="AY347" i="13"/>
  <c r="AZ347" i="13" s="1"/>
  <c r="BA347" i="13" s="1"/>
  <c r="BB347" i="13" s="1"/>
  <c r="BC347" i="13" s="1"/>
  <c r="AW324" i="13"/>
  <c r="AV330" i="13"/>
  <c r="AX330" i="13" s="1"/>
  <c r="AX313" i="13"/>
  <c r="AZ265" i="13"/>
  <c r="BA265" i="13" s="1"/>
  <c r="BA282" i="13" s="1"/>
  <c r="AY299" i="13"/>
  <c r="AZ299" i="13" s="1"/>
  <c r="BA299" i="13" s="1"/>
  <c r="BB299" i="13" s="1"/>
  <c r="BC299" i="13" s="1"/>
  <c r="AZ263" i="13"/>
  <c r="BA263" i="13" s="1"/>
  <c r="BA280" i="13" s="1"/>
  <c r="AY297" i="13"/>
  <c r="AZ297" i="13" s="1"/>
  <c r="BA297" i="13" s="1"/>
  <c r="BB297" i="13" s="1"/>
  <c r="BC297" i="13" s="1"/>
  <c r="AJ278" i="13"/>
  <c r="AW344" i="12"/>
  <c r="AV357" i="12" s="1"/>
  <c r="AV344" i="12"/>
  <c r="BD342" i="12" s="1"/>
  <c r="AV302" i="12"/>
  <c r="BD300" i="12" s="1"/>
  <c r="BD307" i="12" s="1"/>
  <c r="AT317" i="12"/>
  <c r="AU317" i="12" s="1"/>
  <c r="AT286" i="12"/>
  <c r="BD284" i="12" s="1"/>
  <c r="BD289" i="12" s="1"/>
  <c r="AN233" i="12"/>
  <c r="AS233" i="12" s="1"/>
  <c r="AW220" i="12"/>
  <c r="AV233" i="12" s="1"/>
  <c r="AV220" i="12"/>
  <c r="BD216" i="12" s="1"/>
  <c r="BD223" i="12" s="1"/>
  <c r="AW271" i="13"/>
  <c r="AG238" i="12"/>
  <c r="X238" i="12" s="1"/>
  <c r="AX263" i="13"/>
  <c r="AV259" i="13"/>
  <c r="AY259" i="13"/>
  <c r="AW259" i="13"/>
  <c r="AV276" i="13" s="1"/>
  <c r="AX276" i="13" s="1"/>
  <c r="AV261" i="13"/>
  <c r="AY261" i="13"/>
  <c r="AW261" i="13"/>
  <c r="AV278" i="13" s="1"/>
  <c r="AX278" i="13" s="1"/>
  <c r="AX265" i="13"/>
  <c r="AZ210" i="13"/>
  <c r="BA210" i="13" s="1"/>
  <c r="BA227" i="13" s="1"/>
  <c r="AY244" i="13"/>
  <c r="AZ244" i="13" s="1"/>
  <c r="BA244" i="13" s="1"/>
  <c r="AN227" i="13"/>
  <c r="AX210" i="13"/>
  <c r="AV227" i="13"/>
  <c r="AX227" i="13" s="1"/>
  <c r="BA120" i="13"/>
  <c r="BB109" i="13"/>
  <c r="BA122" i="13"/>
  <c r="AJ70" i="13"/>
  <c r="AV122" i="13"/>
  <c r="AX122" i="13" s="1"/>
  <c r="AX111" i="13"/>
  <c r="AW107" i="13"/>
  <c r="AY107" i="13"/>
  <c r="AZ107" i="13" s="1"/>
  <c r="BA107" i="13" s="1"/>
  <c r="BB59" i="13"/>
  <c r="AR70" i="13" s="1"/>
  <c r="AS70" i="13" s="1"/>
  <c r="BB39" i="13"/>
  <c r="BB50" i="13" s="1"/>
  <c r="BH83" i="13"/>
  <c r="BG94" i="13" s="1"/>
  <c r="BG89" i="13"/>
  <c r="BH89" i="13"/>
  <c r="BG100" i="13" s="1"/>
  <c r="AW85" i="13"/>
  <c r="AV85" i="13"/>
  <c r="AY85" i="13"/>
  <c r="AZ85" i="13" s="1"/>
  <c r="BA85" i="13" s="1"/>
  <c r="BF83" i="13"/>
  <c r="BG83" i="13" s="1"/>
  <c r="AR94" i="13"/>
  <c r="AS94" i="13" s="1"/>
  <c r="BB94" i="13"/>
  <c r="AT100" i="13"/>
  <c r="AU100" i="13" s="1"/>
  <c r="BB87" i="13"/>
  <c r="BD87" i="13" s="1"/>
  <c r="BE87" i="13" s="1"/>
  <c r="BA50" i="13"/>
  <c r="BB35" i="13"/>
  <c r="BB46" i="13" s="1"/>
  <c r="AR74" i="13"/>
  <c r="AS74" i="13" s="1"/>
  <c r="AT74" i="13" s="1"/>
  <c r="AU74" i="13" s="1"/>
  <c r="BB74" i="13"/>
  <c r="BF63" i="13"/>
  <c r="AY61" i="13"/>
  <c r="AZ61" i="13" s="1"/>
  <c r="BA61" i="13" s="1"/>
  <c r="AY76" i="13"/>
  <c r="BD76" i="13" s="1"/>
  <c r="BD63" i="13"/>
  <c r="BE63" i="13" s="1"/>
  <c r="AX61" i="13"/>
  <c r="AV72" i="13"/>
  <c r="AX72" i="13" s="1"/>
  <c r="AX37" i="13"/>
  <c r="BB37" i="13" s="1"/>
  <c r="BD37" i="13" s="1"/>
  <c r="BE37" i="13" s="1"/>
  <c r="AV48" i="13"/>
  <c r="AX48" i="13" s="1"/>
  <c r="BA48" i="13"/>
  <c r="BE52" i="13"/>
  <c r="BF52" i="13" s="1"/>
  <c r="AV37" i="13"/>
  <c r="AN50" i="13"/>
  <c r="BB28" i="13"/>
  <c r="AR28" i="13"/>
  <c r="AS28" i="13" s="1"/>
  <c r="AN26" i="13"/>
  <c r="BF17" i="13"/>
  <c r="AI22" i="13"/>
  <c r="AN22" i="13" s="1"/>
  <c r="AY15" i="13"/>
  <c r="AZ15" i="13" s="1"/>
  <c r="BA15" i="13" s="1"/>
  <c r="BA26" i="13" s="1"/>
  <c r="BD17" i="13"/>
  <c r="BE17" i="13" s="1"/>
  <c r="AW15" i="13"/>
  <c r="AV15" i="13"/>
  <c r="AV53" i="12"/>
  <c r="BD49" i="12" s="1"/>
  <c r="Q20" i="7" s="1"/>
  <c r="AV33" i="12"/>
  <c r="BD29" i="12" s="1"/>
  <c r="Q14" i="7" s="1"/>
  <c r="AJ184" i="2"/>
  <c r="AK183" i="2" s="1"/>
  <c r="AL183" i="2" s="1"/>
  <c r="AH287" i="2"/>
  <c r="AJ289" i="2" s="1"/>
  <c r="AJ287" i="2" s="1"/>
  <c r="AL287" i="2" s="1"/>
  <c r="AV73" i="12"/>
  <c r="BD69" i="12" s="1"/>
  <c r="Q26" i="7" s="1"/>
  <c r="AW33" i="12"/>
  <c r="AV42" i="12" s="1"/>
  <c r="AN120" i="13"/>
  <c r="AJ384" i="13"/>
  <c r="AJ26" i="13"/>
  <c r="X233" i="13"/>
  <c r="AJ328" i="13"/>
  <c r="AJ380" i="13"/>
  <c r="AJ382" i="13"/>
  <c r="AI48" i="13"/>
  <c r="AN48" i="13" s="1"/>
  <c r="AH135" i="13"/>
  <c r="AJ135" i="13" s="1"/>
  <c r="AM135" i="13" s="1"/>
  <c r="AI72" i="13"/>
  <c r="AN72" i="13" s="1"/>
  <c r="AI96" i="13"/>
  <c r="AN96" i="13" s="1"/>
  <c r="AJ227" i="13"/>
  <c r="W288" i="2"/>
  <c r="Y290" i="2" s="1"/>
  <c r="M191" i="2"/>
  <c r="O191" i="2" s="1"/>
  <c r="W255" i="2"/>
  <c r="M226" i="2"/>
  <c r="M224" i="2" s="1"/>
  <c r="O224" i="2" s="1"/>
  <c r="M194" i="2"/>
  <c r="M192" i="2" s="1"/>
  <c r="O192" i="2" s="1"/>
  <c r="M225" i="2"/>
  <c r="M223" i="2" s="1"/>
  <c r="O223" i="2" s="1"/>
  <c r="AW292" i="12"/>
  <c r="AI315" i="12"/>
  <c r="AJ315" i="12" s="1"/>
  <c r="AN24" i="12"/>
  <c r="AS24" i="12" s="1"/>
  <c r="AJ24" i="12"/>
  <c r="AV311" i="12"/>
  <c r="AW311" i="12" s="1"/>
  <c r="AJ359" i="12"/>
  <c r="AV353" i="12"/>
  <c r="AI357" i="12"/>
  <c r="AJ357" i="12" s="1"/>
  <c r="AG363" i="12"/>
  <c r="X363" i="12" s="1"/>
  <c r="AR364" i="12"/>
  <c r="AI364" i="12" s="1"/>
  <c r="AW302" i="12"/>
  <c r="AV315" i="12" s="1"/>
  <c r="AU286" i="12"/>
  <c r="AU275" i="12"/>
  <c r="AI273" i="12"/>
  <c r="AN273" i="12" s="1"/>
  <c r="AS273" i="12" s="1"/>
  <c r="AT231" i="12"/>
  <c r="AU231" i="12" s="1"/>
  <c r="AV228" i="12"/>
  <c r="AW228" i="12" s="1"/>
  <c r="AT102" i="12"/>
  <c r="AN80" i="12"/>
  <c r="AS80" i="12" s="1"/>
  <c r="AT62" i="12"/>
  <c r="AU62" i="12" s="1"/>
  <c r="AJ62" i="12"/>
  <c r="AJ42" i="12"/>
  <c r="AT42" i="12"/>
  <c r="AU42" i="12" s="1"/>
  <c r="Y176" i="12"/>
  <c r="Z176" i="12" s="1"/>
  <c r="AE115" i="12"/>
  <c r="AC204" i="12"/>
  <c r="AD204" i="12" s="1"/>
  <c r="AE204" i="12" s="1"/>
  <c r="AD178" i="12"/>
  <c r="X191" i="12"/>
  <c r="AB191" i="12" s="1"/>
  <c r="AB178" i="12"/>
  <c r="AK278" i="2"/>
  <c r="AL278" i="2" s="1"/>
  <c r="AK247" i="2"/>
  <c r="AL247" i="2" s="1"/>
  <c r="AK246" i="2"/>
  <c r="AL246" i="2" s="1"/>
  <c r="X157" i="2"/>
  <c r="AB157" i="2" s="1"/>
  <c r="AB148" i="2"/>
  <c r="AC166" i="2"/>
  <c r="AD166" i="2" s="1"/>
  <c r="AE166" i="2" s="1"/>
  <c r="AF166" i="2" s="1"/>
  <c r="AG166" i="2" s="1"/>
  <c r="AD148" i="2"/>
  <c r="AE148" i="2" s="1"/>
  <c r="AE95" i="2"/>
  <c r="AF95" i="2" s="1"/>
  <c r="AK214" i="2" l="1"/>
  <c r="AL214" i="2" s="1"/>
  <c r="AV260" i="12"/>
  <c r="BD258" i="12" s="1"/>
  <c r="BD265" i="12" s="1"/>
  <c r="AW260" i="12"/>
  <c r="AV273" i="12" s="1"/>
  <c r="BG377" i="13"/>
  <c r="BH377" i="13" s="1"/>
  <c r="BG367" i="13"/>
  <c r="AR322" i="12"/>
  <c r="AI322" i="12" s="1"/>
  <c r="AR382" i="13"/>
  <c r="AS382" i="13" s="1"/>
  <c r="AT382" i="13" s="1"/>
  <c r="AY382" i="13" s="1"/>
  <c r="BD382" i="13" s="1"/>
  <c r="BB417" i="13"/>
  <c r="BD417" i="13" s="1"/>
  <c r="BE417" i="13" s="1"/>
  <c r="BH417" i="13" s="1"/>
  <c r="BG434" i="13" s="1"/>
  <c r="BD288" i="12"/>
  <c r="Q98" i="7"/>
  <c r="BD349" i="12"/>
  <c r="BD244" i="12"/>
  <c r="BD247" i="12"/>
  <c r="BD246" i="12" s="1"/>
  <c r="Q73" i="7"/>
  <c r="BB382" i="13"/>
  <c r="BD365" i="13"/>
  <c r="BE365" i="13" s="1"/>
  <c r="BG376" i="13" s="1"/>
  <c r="BA332" i="13"/>
  <c r="BF399" i="13"/>
  <c r="BB349" i="13"/>
  <c r="BC349" i="13" s="1"/>
  <c r="BD349" i="13" s="1"/>
  <c r="BG355" i="13" s="1"/>
  <c r="BH355" i="13" s="1"/>
  <c r="AT28" i="13"/>
  <c r="AU28" i="13" s="1"/>
  <c r="AT233" i="12"/>
  <c r="AR238" i="12" s="1"/>
  <c r="AI238" i="12" s="1"/>
  <c r="AU384" i="13"/>
  <c r="BG407" i="13"/>
  <c r="BH407" i="13" s="1"/>
  <c r="AT80" i="12"/>
  <c r="AJ22" i="13"/>
  <c r="BD451" i="13"/>
  <c r="BG458" i="13" s="1"/>
  <c r="BH458" i="13" s="1"/>
  <c r="BE399" i="13"/>
  <c r="BN395" i="13" s="1"/>
  <c r="BN400" i="13" s="1"/>
  <c r="BN399" i="13" s="1"/>
  <c r="AT24" i="12"/>
  <c r="AU24" i="12" s="1"/>
  <c r="BE76" i="13"/>
  <c r="BF76" i="13" s="1"/>
  <c r="AR390" i="13"/>
  <c r="AI390" i="13" s="1"/>
  <c r="BF436" i="13"/>
  <c r="BF401" i="13"/>
  <c r="AK182" i="2"/>
  <c r="AL182" i="2" s="1"/>
  <c r="AR180" i="2" s="1"/>
  <c r="BE384" i="13"/>
  <c r="BC390" i="13" s="1"/>
  <c r="AT390" i="13" s="1"/>
  <c r="BD347" i="13"/>
  <c r="BF347" i="13" s="1"/>
  <c r="BB265" i="13"/>
  <c r="BD265" i="13" s="1"/>
  <c r="BE265" i="13" s="1"/>
  <c r="BF315" i="13"/>
  <c r="AR332" i="13"/>
  <c r="AS332" i="13" s="1"/>
  <c r="BB332" i="13"/>
  <c r="BB313" i="13"/>
  <c r="BD315" i="13"/>
  <c r="BE315" i="13" s="1"/>
  <c r="AZ259" i="13"/>
  <c r="BA259" i="13" s="1"/>
  <c r="BA276" i="13" s="1"/>
  <c r="AY293" i="13"/>
  <c r="AZ293" i="13" s="1"/>
  <c r="BA293" i="13" s="1"/>
  <c r="BB293" i="13" s="1"/>
  <c r="BC293" i="13" s="1"/>
  <c r="AZ261" i="13"/>
  <c r="BA261" i="13" s="1"/>
  <c r="BA278" i="13" s="1"/>
  <c r="AY295" i="13"/>
  <c r="AZ295" i="13" s="1"/>
  <c r="BA295" i="13" s="1"/>
  <c r="BB295" i="13" s="1"/>
  <c r="BC295" i="13" s="1"/>
  <c r="BB263" i="13"/>
  <c r="AR280" i="13" s="1"/>
  <c r="AS280" i="13" s="1"/>
  <c r="BD299" i="13"/>
  <c r="BF299" i="13" s="1"/>
  <c r="BD297" i="13"/>
  <c r="BF297" i="13" s="1"/>
  <c r="Q81" i="7"/>
  <c r="BD286" i="12"/>
  <c r="AX261" i="13"/>
  <c r="BB244" i="13"/>
  <c r="BC244" i="13" s="1"/>
  <c r="AX259" i="13"/>
  <c r="BB210" i="13"/>
  <c r="BD210" i="13" s="1"/>
  <c r="BE210" i="13" s="1"/>
  <c r="BD39" i="13"/>
  <c r="BE39" i="13" s="1"/>
  <c r="BH39" i="13" s="1"/>
  <c r="BG50" i="13" s="1"/>
  <c r="BF39" i="13"/>
  <c r="AR50" i="13"/>
  <c r="AS50" i="13" s="1"/>
  <c r="BB120" i="13"/>
  <c r="BF109" i="13"/>
  <c r="AR120" i="13"/>
  <c r="AS120" i="13" s="1"/>
  <c r="BA118" i="13"/>
  <c r="BB111" i="13"/>
  <c r="BD109" i="13"/>
  <c r="BE109" i="13" s="1"/>
  <c r="BG63" i="13"/>
  <c r="BH63" i="13"/>
  <c r="BG74" i="13" s="1"/>
  <c r="BB70" i="13"/>
  <c r="BF59" i="13"/>
  <c r="BD59" i="13"/>
  <c r="BE59" i="13" s="1"/>
  <c r="BH59" i="13" s="1"/>
  <c r="BG70" i="13" s="1"/>
  <c r="AV118" i="13"/>
  <c r="AX118" i="13" s="1"/>
  <c r="AX107" i="13"/>
  <c r="AR46" i="13"/>
  <c r="AS46" i="13" s="1"/>
  <c r="AT46" i="13" s="1"/>
  <c r="AY46" i="13" s="1"/>
  <c r="BD46" i="13" s="1"/>
  <c r="BF35" i="13"/>
  <c r="AT94" i="13"/>
  <c r="AU94" i="13" s="1"/>
  <c r="BF87" i="13"/>
  <c r="BG87" i="13" s="1"/>
  <c r="BB98" i="13"/>
  <c r="AR98" i="13"/>
  <c r="AS98" i="13" s="1"/>
  <c r="AV96" i="13"/>
  <c r="AX96" i="13" s="1"/>
  <c r="AX85" i="13"/>
  <c r="BB85" i="13" s="1"/>
  <c r="BH87" i="13"/>
  <c r="BG98" i="13" s="1"/>
  <c r="AY100" i="13"/>
  <c r="BD100" i="13" s="1"/>
  <c r="BA96" i="13"/>
  <c r="BD35" i="13"/>
  <c r="BE35" i="13" s="1"/>
  <c r="BH35" i="13" s="1"/>
  <c r="BG46" i="13" s="1"/>
  <c r="AY74" i="13"/>
  <c r="BD74" i="13" s="1"/>
  <c r="AT70" i="13"/>
  <c r="AY70" i="13" s="1"/>
  <c r="BD70" i="13" s="1"/>
  <c r="BA72" i="13"/>
  <c r="BB61" i="13"/>
  <c r="BF37" i="13"/>
  <c r="BG37" i="13" s="1"/>
  <c r="AR48" i="13"/>
  <c r="AS48" i="13" s="1"/>
  <c r="AT48" i="13" s="1"/>
  <c r="BB48" i="13"/>
  <c r="BH37" i="13"/>
  <c r="BG48" i="13" s="1"/>
  <c r="BG17" i="13"/>
  <c r="AV26" i="13"/>
  <c r="AX26" i="13" s="1"/>
  <c r="AX15" i="13"/>
  <c r="BH17" i="13"/>
  <c r="BG28" i="13" s="1"/>
  <c r="AJ48" i="13"/>
  <c r="AJ72" i="13"/>
  <c r="AJ330" i="13"/>
  <c r="AJ96" i="13"/>
  <c r="AJ332" i="13"/>
  <c r="AN135" i="13"/>
  <c r="AO135" i="13" s="1"/>
  <c r="AP135" i="13" s="1"/>
  <c r="W223" i="2"/>
  <c r="Y225" i="2" s="1"/>
  <c r="W224" i="2"/>
  <c r="Y226" i="2" s="1"/>
  <c r="W192" i="2"/>
  <c r="Y194" i="2" s="1"/>
  <c r="Y257" i="2"/>
  <c r="W191" i="2"/>
  <c r="Y270" i="12"/>
  <c r="Z267" i="12" s="1"/>
  <c r="AA267" i="12" s="1"/>
  <c r="J279" i="12"/>
  <c r="Y256" i="2"/>
  <c r="AH256" i="2" s="1"/>
  <c r="AJ258" i="2" s="1"/>
  <c r="AJ256" i="2" s="1"/>
  <c r="AL256" i="2" s="1"/>
  <c r="Y288" i="2"/>
  <c r="AH288" i="2" s="1"/>
  <c r="AJ290" i="2" s="1"/>
  <c r="AN315" i="12"/>
  <c r="AS315" i="12" s="1"/>
  <c r="AN357" i="12"/>
  <c r="AS357" i="12" s="1"/>
  <c r="AW353" i="12"/>
  <c r="BA350" i="12"/>
  <c r="BA351" i="12" s="1"/>
  <c r="BD344" i="12"/>
  <c r="Q90" i="7"/>
  <c r="AR237" i="12"/>
  <c r="AI237" i="12" s="1"/>
  <c r="BA308" i="12"/>
  <c r="BA309" i="12" s="1"/>
  <c r="BD302" i="12"/>
  <c r="AJ273" i="12"/>
  <c r="BA224" i="12"/>
  <c r="BA225" i="12" s="1"/>
  <c r="J237" i="12" s="1"/>
  <c r="AT273" i="12"/>
  <c r="AR279" i="12" s="1"/>
  <c r="AI279" i="12" s="1"/>
  <c r="AW269" i="12"/>
  <c r="BD218" i="12"/>
  <c r="Q74" i="7"/>
  <c r="Z185" i="12"/>
  <c r="BD37" i="12"/>
  <c r="BD38" i="12" s="1"/>
  <c r="Q16" i="7" s="1"/>
  <c r="R13" i="5" s="1"/>
  <c r="I10" i="15" s="1"/>
  <c r="BD57" i="12"/>
  <c r="AC176" i="12"/>
  <c r="AC202" i="12" s="1"/>
  <c r="AD202" i="12" s="1"/>
  <c r="AE202" i="12" s="1"/>
  <c r="AF202" i="12" s="1"/>
  <c r="AG202" i="12" s="1"/>
  <c r="AF204" i="12"/>
  <c r="AG204" i="12" s="1"/>
  <c r="AA176" i="12"/>
  <c r="AB176" i="12" s="1"/>
  <c r="AE178" i="12"/>
  <c r="AE191" i="12" s="1"/>
  <c r="AF115" i="12"/>
  <c r="AG115" i="12" s="1"/>
  <c r="AE157" i="2"/>
  <c r="AF148" i="2"/>
  <c r="AF157" i="2" s="1"/>
  <c r="AH166" i="2"/>
  <c r="AI166" i="2" s="1"/>
  <c r="AR272" i="2"/>
  <c r="AR281" i="2"/>
  <c r="AR285" i="2" s="1"/>
  <c r="AR240" i="2"/>
  <c r="AR208" i="2"/>
  <c r="AR217" i="2"/>
  <c r="AR221" i="2" s="1"/>
  <c r="I74" i="7"/>
  <c r="AR185" i="2"/>
  <c r="I14" i="7"/>
  <c r="I15" i="7"/>
  <c r="I20" i="7"/>
  <c r="I26" i="7"/>
  <c r="I27" i="7"/>
  <c r="AG95" i="2"/>
  <c r="A24" i="1"/>
  <c r="B24" i="1" s="1"/>
  <c r="C67" i="1"/>
  <c r="C63" i="1"/>
  <c r="C59" i="1"/>
  <c r="C55" i="1"/>
  <c r="C51" i="1"/>
  <c r="A69" i="1"/>
  <c r="B69" i="1" s="1"/>
  <c r="C69" i="1" s="1"/>
  <c r="A65" i="1"/>
  <c r="B65" i="1" s="1"/>
  <c r="C65" i="1" s="1"/>
  <c r="A61" i="1"/>
  <c r="B61" i="1" s="1"/>
  <c r="C61" i="1" s="1"/>
  <c r="A57" i="1"/>
  <c r="B57" i="1" s="1"/>
  <c r="C57" i="1" s="1"/>
  <c r="A53" i="1"/>
  <c r="B53" i="1" s="1"/>
  <c r="C53" i="1" s="1"/>
  <c r="B49" i="1"/>
  <c r="B44" i="1"/>
  <c r="B39" i="1"/>
  <c r="B34" i="1"/>
  <c r="A29" i="1"/>
  <c r="B29" i="1" s="1"/>
  <c r="E93" i="2"/>
  <c r="BD260" i="12" l="1"/>
  <c r="Q82" i="7"/>
  <c r="N91" i="12"/>
  <c r="N107" i="13"/>
  <c r="N118" i="13"/>
  <c r="BB434" i="13"/>
  <c r="AR434" i="13"/>
  <c r="AS434" i="13" s="1"/>
  <c r="AT434" i="13" s="1"/>
  <c r="AY434" i="13" s="1"/>
  <c r="BD434" i="13" s="1"/>
  <c r="BF417" i="13"/>
  <c r="BG428" i="13" s="1"/>
  <c r="BK423" i="13" s="1"/>
  <c r="BK424" i="13" s="1"/>
  <c r="J440" i="13" s="1"/>
  <c r="BH365" i="13"/>
  <c r="BG382" i="13" s="1"/>
  <c r="M161" i="12"/>
  <c r="M189" i="13"/>
  <c r="M149" i="12"/>
  <c r="M175" i="13"/>
  <c r="M137" i="12"/>
  <c r="M161" i="13"/>
  <c r="M125" i="12"/>
  <c r="M147" i="13"/>
  <c r="M113" i="12"/>
  <c r="M133" i="13"/>
  <c r="BG365" i="13"/>
  <c r="BN361" i="13" s="1"/>
  <c r="BN370" i="13" s="1"/>
  <c r="BE349" i="13"/>
  <c r="AY28" i="13"/>
  <c r="BD28" i="13" s="1"/>
  <c r="BE28" i="13" s="1"/>
  <c r="BF28" i="13" s="1"/>
  <c r="I75" i="7"/>
  <c r="AR189" i="2"/>
  <c r="AR389" i="13"/>
  <c r="AI389" i="13" s="1"/>
  <c r="AR282" i="13"/>
  <c r="AS282" i="13" s="1"/>
  <c r="AT282" i="13" s="1"/>
  <c r="AY282" i="13" s="1"/>
  <c r="BD282" i="13" s="1"/>
  <c r="BB282" i="13"/>
  <c r="BF265" i="13"/>
  <c r="BG274" i="13" s="1"/>
  <c r="BE297" i="13"/>
  <c r="AU382" i="13"/>
  <c r="BF384" i="13"/>
  <c r="AU273" i="12"/>
  <c r="BD271" i="12" s="1"/>
  <c r="BD275" i="12" s="1"/>
  <c r="Y89" i="7"/>
  <c r="BN397" i="13"/>
  <c r="BE451" i="13"/>
  <c r="BN447" i="13" s="1"/>
  <c r="BN452" i="13" s="1"/>
  <c r="BN451" i="13" s="1"/>
  <c r="BE74" i="13"/>
  <c r="BF74" i="13" s="1"/>
  <c r="BF349" i="13"/>
  <c r="BF451" i="13"/>
  <c r="AU80" i="12"/>
  <c r="BD77" i="12" s="1"/>
  <c r="AU233" i="12"/>
  <c r="BD229" i="12" s="1"/>
  <c r="BE382" i="13"/>
  <c r="BC389" i="13" s="1"/>
  <c r="AT389" i="13" s="1"/>
  <c r="BH376" i="13"/>
  <c r="BK371" i="13"/>
  <c r="BK372" i="13" s="1"/>
  <c r="J388" i="13" s="1"/>
  <c r="BE347" i="13"/>
  <c r="BG354" i="13"/>
  <c r="BH354" i="13" s="1"/>
  <c r="BB280" i="13"/>
  <c r="BB259" i="13"/>
  <c r="BF259" i="13" s="1"/>
  <c r="BF263" i="13"/>
  <c r="BD263" i="13"/>
  <c r="BE263" i="13" s="1"/>
  <c r="BG304" i="13"/>
  <c r="BH304" i="13" s="1"/>
  <c r="BG325" i="13"/>
  <c r="BH325" i="13" s="1"/>
  <c r="BG315" i="13"/>
  <c r="BH315" i="13"/>
  <c r="BG332" i="13" s="1"/>
  <c r="BB330" i="13"/>
  <c r="AR330" i="13"/>
  <c r="AS330" i="13" s="1"/>
  <c r="BF313" i="13"/>
  <c r="AT332" i="13"/>
  <c r="AY332" i="13" s="1"/>
  <c r="BD332" i="13" s="1"/>
  <c r="BD313" i="13"/>
  <c r="BE313" i="13" s="1"/>
  <c r="BD293" i="13"/>
  <c r="BE293" i="13" s="1"/>
  <c r="BD295" i="13"/>
  <c r="BE295" i="13" s="1"/>
  <c r="BB261" i="13"/>
  <c r="BB278" i="13" s="1"/>
  <c r="BG303" i="13"/>
  <c r="BH303" i="13" s="1"/>
  <c r="BE299" i="13"/>
  <c r="AT280" i="13"/>
  <c r="AY280" i="13" s="1"/>
  <c r="BD280" i="13" s="1"/>
  <c r="AT357" i="12"/>
  <c r="AR363" i="12" s="1"/>
  <c r="AI363" i="12" s="1"/>
  <c r="AT315" i="12"/>
  <c r="AU315" i="12" s="1"/>
  <c r="BH265" i="13"/>
  <c r="BG282" i="13" s="1"/>
  <c r="BD244" i="13"/>
  <c r="BG250" i="13" s="1"/>
  <c r="BH250" i="13" s="1"/>
  <c r="AR227" i="13"/>
  <c r="AS227" i="13" s="1"/>
  <c r="AT227" i="13" s="1"/>
  <c r="AR233" i="13" s="1"/>
  <c r="AI233" i="13" s="1"/>
  <c r="BB227" i="13"/>
  <c r="BF210" i="13"/>
  <c r="BG210" i="13" s="1"/>
  <c r="BH210" i="13"/>
  <c r="BG227" i="13" s="1"/>
  <c r="BG39" i="13"/>
  <c r="BG59" i="13"/>
  <c r="BD111" i="13"/>
  <c r="BE111" i="13" s="1"/>
  <c r="BH111" i="13" s="1"/>
  <c r="AT120" i="13"/>
  <c r="BH109" i="13"/>
  <c r="BG120" i="13" s="1"/>
  <c r="BB107" i="13"/>
  <c r="AR118" i="13" s="1"/>
  <c r="AS118" i="13" s="1"/>
  <c r="BB122" i="13"/>
  <c r="BF111" i="13"/>
  <c r="AQ135" i="13"/>
  <c r="BG35" i="13"/>
  <c r="AY94" i="13"/>
  <c r="BD94" i="13" s="1"/>
  <c r="AR122" i="13"/>
  <c r="AS122" i="13" s="1"/>
  <c r="BE100" i="13"/>
  <c r="BF100" i="13" s="1"/>
  <c r="AT98" i="13"/>
  <c r="AY98" i="13" s="1"/>
  <c r="BD98" i="13" s="1"/>
  <c r="BF85" i="13"/>
  <c r="BB96" i="13"/>
  <c r="AR96" i="13"/>
  <c r="AS96" i="13" s="1"/>
  <c r="BD85" i="13"/>
  <c r="BE85" i="13" s="1"/>
  <c r="BH85" i="13" s="1"/>
  <c r="BG96" i="13" s="1"/>
  <c r="AU70" i="13"/>
  <c r="AR72" i="13"/>
  <c r="AS72" i="13" s="1"/>
  <c r="AT72" i="13" s="1"/>
  <c r="AY72" i="13" s="1"/>
  <c r="BD72" i="13" s="1"/>
  <c r="BB72" i="13"/>
  <c r="BF61" i="13"/>
  <c r="BD61" i="13"/>
  <c r="BE61" i="13" s="1"/>
  <c r="BE70" i="13"/>
  <c r="BF70" i="13" s="1"/>
  <c r="BE46" i="13"/>
  <c r="BF46" i="13" s="1"/>
  <c r="AY48" i="13"/>
  <c r="BD48" i="13" s="1"/>
  <c r="AT50" i="13"/>
  <c r="AU50" i="13" s="1"/>
  <c r="AU48" i="13"/>
  <c r="AU46" i="13"/>
  <c r="BB15" i="13"/>
  <c r="AL208" i="13"/>
  <c r="Z268" i="12"/>
  <c r="AA268" i="12" s="1"/>
  <c r="AJ288" i="2"/>
  <c r="AL288" i="2" s="1"/>
  <c r="J280" i="12"/>
  <c r="K279" i="12"/>
  <c r="J238" i="12"/>
  <c r="K237" i="12"/>
  <c r="AA288" i="2"/>
  <c r="Y192" i="2"/>
  <c r="AH192" i="2" s="1"/>
  <c r="AJ194" i="2" s="1"/>
  <c r="Z266" i="12"/>
  <c r="AA266" i="12" s="1"/>
  <c r="Y193" i="2"/>
  <c r="Y191" i="2" s="1"/>
  <c r="AA191" i="2" s="1"/>
  <c r="Y223" i="2"/>
  <c r="AH223" i="2" s="1"/>
  <c r="AJ225" i="2" s="1"/>
  <c r="Y354" i="12"/>
  <c r="Z351" i="12" s="1"/>
  <c r="AA351" i="12" s="1"/>
  <c r="J363" i="12"/>
  <c r="Y255" i="2"/>
  <c r="AH255" i="2" s="1"/>
  <c r="AJ257" i="2" s="1"/>
  <c r="AJ255" i="2" s="1"/>
  <c r="AL255" i="2" s="1"/>
  <c r="Y312" i="12"/>
  <c r="Z309" i="12" s="1"/>
  <c r="AA309" i="12" s="1"/>
  <c r="J321" i="12"/>
  <c r="AA256" i="2"/>
  <c r="Y224" i="2"/>
  <c r="AH224" i="2" s="1"/>
  <c r="AJ226" i="2" s="1"/>
  <c r="AR321" i="12"/>
  <c r="AI321" i="12" s="1"/>
  <c r="Y227" i="12"/>
  <c r="Q15" i="7"/>
  <c r="Q21" i="7"/>
  <c r="BD58" i="12"/>
  <c r="BD46" i="12"/>
  <c r="Q17" i="7" s="1"/>
  <c r="S13" i="5" s="1"/>
  <c r="T13" i="5" s="1"/>
  <c r="C49" i="1"/>
  <c r="C44" i="1"/>
  <c r="C34" i="1"/>
  <c r="C24" i="1"/>
  <c r="N100" i="12"/>
  <c r="C39" i="1"/>
  <c r="AH204" i="12"/>
  <c r="AI204" i="12" s="1"/>
  <c r="AH202" i="12"/>
  <c r="AI202" i="12" s="1"/>
  <c r="AD176" i="12"/>
  <c r="AE176" i="12" s="1"/>
  <c r="X189" i="12"/>
  <c r="AB189" i="12" s="1"/>
  <c r="AA185" i="12"/>
  <c r="AF178" i="12"/>
  <c r="AH115" i="12"/>
  <c r="AN115" i="12" s="1"/>
  <c r="C29" i="1"/>
  <c r="I98" i="7"/>
  <c r="AR277" i="2"/>
  <c r="AR276" i="2" s="1"/>
  <c r="I82" i="7"/>
  <c r="AR213" i="2"/>
  <c r="AR212" i="2" s="1"/>
  <c r="AR234" i="2"/>
  <c r="I90" i="7"/>
  <c r="AR245" i="2"/>
  <c r="AR244" i="2" s="1"/>
  <c r="AJ166" i="2"/>
  <c r="AJ148" i="2"/>
  <c r="T157" i="2"/>
  <c r="U157" i="2" s="1"/>
  <c r="AH148" i="2"/>
  <c r="AI148" i="2" s="1"/>
  <c r="AK169" i="2"/>
  <c r="AL169" i="2" s="1"/>
  <c r="N75" i="2"/>
  <c r="N82" i="2"/>
  <c r="M133" i="2"/>
  <c r="M123" i="2"/>
  <c r="M113" i="2"/>
  <c r="M103" i="2"/>
  <c r="M93" i="2"/>
  <c r="AR282" i="2"/>
  <c r="I99" i="7"/>
  <c r="AR250" i="2"/>
  <c r="I91" i="7"/>
  <c r="AR218" i="2"/>
  <c r="I83" i="7"/>
  <c r="I21" i="7"/>
  <c r="AR186" i="2"/>
  <c r="AR274" i="2"/>
  <c r="AR298" i="2"/>
  <c r="AR210" i="2"/>
  <c r="AR178" i="2"/>
  <c r="AR202" i="2"/>
  <c r="AR242" i="2"/>
  <c r="AR266" i="2"/>
  <c r="AR64" i="2"/>
  <c r="AR48" i="2"/>
  <c r="AR32" i="2"/>
  <c r="AH95" i="2"/>
  <c r="D53" i="1"/>
  <c r="E53" i="1" s="1"/>
  <c r="F53" i="1" s="1"/>
  <c r="G53" i="1" s="1"/>
  <c r="H53" i="1" s="1"/>
  <c r="I53" i="1" s="1"/>
  <c r="J53" i="1" s="1"/>
  <c r="K53" i="1" s="1"/>
  <c r="L53" i="1" s="1"/>
  <c r="M53" i="1" s="1"/>
  <c r="D65" i="1"/>
  <c r="E65" i="1" s="1"/>
  <c r="F65" i="1" s="1"/>
  <c r="G65" i="1" s="1"/>
  <c r="H65" i="1" s="1"/>
  <c r="I65" i="1" s="1"/>
  <c r="J65" i="1" s="1"/>
  <c r="K65" i="1" s="1"/>
  <c r="L65" i="1" s="1"/>
  <c r="M65" i="1" s="1"/>
  <c r="D69" i="1"/>
  <c r="E69" i="1" s="1"/>
  <c r="F69" i="1" s="1"/>
  <c r="G69" i="1" s="1"/>
  <c r="H69" i="1" s="1"/>
  <c r="I69" i="1" s="1"/>
  <c r="J69" i="1" s="1"/>
  <c r="K69" i="1" s="1"/>
  <c r="L69" i="1" s="1"/>
  <c r="M69" i="1" s="1"/>
  <c r="D61" i="1"/>
  <c r="E61" i="1" s="1"/>
  <c r="F61" i="1" s="1"/>
  <c r="G61" i="1" s="1"/>
  <c r="H61" i="1" s="1"/>
  <c r="I61" i="1" s="1"/>
  <c r="J61" i="1" s="1"/>
  <c r="K61" i="1" s="1"/>
  <c r="L61" i="1" s="1"/>
  <c r="M61" i="1" s="1"/>
  <c r="D57" i="1"/>
  <c r="E57" i="1" s="1"/>
  <c r="F57" i="1" s="1"/>
  <c r="G57" i="1" s="1"/>
  <c r="H57" i="1" s="1"/>
  <c r="I57" i="1" s="1"/>
  <c r="J57" i="1" s="1"/>
  <c r="K57" i="1" s="1"/>
  <c r="L57" i="1" s="1"/>
  <c r="M57" i="1" s="1"/>
  <c r="BN343" i="13" l="1"/>
  <c r="BN348" i="13" s="1"/>
  <c r="BG417" i="13"/>
  <c r="BN413" i="13" s="1"/>
  <c r="BN415" i="13" s="1"/>
  <c r="AR284" i="2"/>
  <c r="N109" i="13"/>
  <c r="N120" i="13"/>
  <c r="Z107" i="13"/>
  <c r="W118" i="13"/>
  <c r="Y90" i="7"/>
  <c r="BN363" i="13"/>
  <c r="M191" i="13"/>
  <c r="W189" i="13"/>
  <c r="M177" i="13"/>
  <c r="W175" i="13"/>
  <c r="M163" i="13"/>
  <c r="W161" i="13"/>
  <c r="M149" i="13"/>
  <c r="W147" i="13"/>
  <c r="D29" i="1"/>
  <c r="M117" i="12" s="1"/>
  <c r="M135" i="13"/>
  <c r="W133" i="13"/>
  <c r="BN347" i="13"/>
  <c r="BD230" i="12"/>
  <c r="BD253" i="12" s="1"/>
  <c r="Q77" i="7" s="1"/>
  <c r="S23" i="5" s="1"/>
  <c r="BD233" i="12"/>
  <c r="BD259" i="13"/>
  <c r="BE259" i="13" s="1"/>
  <c r="BG271" i="13" s="1"/>
  <c r="BG265" i="13"/>
  <c r="AR276" i="13"/>
  <c r="AS276" i="13" s="1"/>
  <c r="AT276" i="13" s="1"/>
  <c r="AY276" i="13" s="1"/>
  <c r="BD276" i="13" s="1"/>
  <c r="BH428" i="13"/>
  <c r="Q75" i="7"/>
  <c r="BD252" i="12"/>
  <c r="AY252" i="12" s="1"/>
  <c r="Q27" i="7"/>
  <c r="BD78" i="12"/>
  <c r="Y97" i="7"/>
  <c r="BN449" i="13"/>
  <c r="Z352" i="12"/>
  <c r="AA352" i="12" s="1"/>
  <c r="AU357" i="12"/>
  <c r="BD355" i="12" s="1"/>
  <c r="BG302" i="13"/>
  <c r="BH302" i="13" s="1"/>
  <c r="BH263" i="13"/>
  <c r="BG280" i="13" s="1"/>
  <c r="BG273" i="13"/>
  <c r="BH273" i="13" s="1"/>
  <c r="BE94" i="13"/>
  <c r="BF94" i="13" s="1"/>
  <c r="Y377" i="13"/>
  <c r="Z373" i="13" s="1"/>
  <c r="AA373" i="13" s="1"/>
  <c r="AR441" i="13"/>
  <c r="AI441" i="13" s="1"/>
  <c r="J441" i="13"/>
  <c r="K440" i="13"/>
  <c r="BE434" i="13"/>
  <c r="BC441" i="13" s="1"/>
  <c r="AT441" i="13" s="1"/>
  <c r="AU434" i="13"/>
  <c r="Y429" i="13"/>
  <c r="J389" i="13"/>
  <c r="K388" i="13"/>
  <c r="BF382" i="13"/>
  <c r="BN378" i="13" s="1"/>
  <c r="BN382" i="13" s="1"/>
  <c r="AU332" i="13"/>
  <c r="AR338" i="13"/>
  <c r="AI338" i="13" s="1"/>
  <c r="Y81" i="7"/>
  <c r="BN345" i="13"/>
  <c r="BB276" i="13"/>
  <c r="BD261" i="13"/>
  <c r="BE261" i="13" s="1"/>
  <c r="BG263" i="13"/>
  <c r="BG301" i="13"/>
  <c r="BH301" i="13" s="1"/>
  <c r="AR278" i="13"/>
  <c r="AS278" i="13" s="1"/>
  <c r="AT278" i="13" s="1"/>
  <c r="AY278" i="13" s="1"/>
  <c r="BD278" i="13" s="1"/>
  <c r="BF244" i="13"/>
  <c r="BE244" i="13"/>
  <c r="BF261" i="13"/>
  <c r="BF295" i="13"/>
  <c r="BF293" i="13"/>
  <c r="BE332" i="13"/>
  <c r="BF332" i="13" s="1"/>
  <c r="BG324" i="13"/>
  <c r="BK319" i="13" s="1"/>
  <c r="BG313" i="13"/>
  <c r="BN309" i="13" s="1"/>
  <c r="BN318" i="13" s="1"/>
  <c r="BH313" i="13"/>
  <c r="BG330" i="13" s="1"/>
  <c r="AT330" i="13"/>
  <c r="AY330" i="13" s="1"/>
  <c r="BD330" i="13" s="1"/>
  <c r="BN291" i="13"/>
  <c r="BN296" i="13" s="1"/>
  <c r="AU282" i="13"/>
  <c r="AR286" i="13"/>
  <c r="AI286" i="13" s="1"/>
  <c r="BE280" i="13"/>
  <c r="BF280" i="13" s="1"/>
  <c r="BE282" i="13"/>
  <c r="BC287" i="13" s="1"/>
  <c r="AT287" i="13" s="1"/>
  <c r="AU280" i="13"/>
  <c r="AR287" i="13"/>
  <c r="AI287" i="13" s="1"/>
  <c r="BD313" i="12"/>
  <c r="BD317" i="12" s="1"/>
  <c r="BH274" i="13"/>
  <c r="BG270" i="13" s="1"/>
  <c r="BH270" i="13" s="1"/>
  <c r="T191" i="12"/>
  <c r="U191" i="12" s="1"/>
  <c r="V191" i="12" s="1"/>
  <c r="V196" i="12" s="1"/>
  <c r="L196" i="12" s="1"/>
  <c r="AF191" i="12"/>
  <c r="BG220" i="13"/>
  <c r="BH220" i="13" s="1"/>
  <c r="BN33" i="13"/>
  <c r="Y14" i="7" s="1"/>
  <c r="AU227" i="13"/>
  <c r="AY227" i="13"/>
  <c r="BD227" i="13" s="1"/>
  <c r="AM208" i="13"/>
  <c r="AK225" i="13"/>
  <c r="AM225" i="13" s="1"/>
  <c r="AY120" i="13"/>
  <c r="BD120" i="13" s="1"/>
  <c r="BE120" i="13" s="1"/>
  <c r="BB118" i="13"/>
  <c r="BF107" i="13"/>
  <c r="BD107" i="13"/>
  <c r="BE107" i="13" s="1"/>
  <c r="AT118" i="13"/>
  <c r="AY118" i="13" s="1"/>
  <c r="BD118" i="13" s="1"/>
  <c r="BG122" i="13"/>
  <c r="AT122" i="13"/>
  <c r="BG85" i="13"/>
  <c r="BN81" i="13" s="1"/>
  <c r="Y26" i="7" s="1"/>
  <c r="BE98" i="13"/>
  <c r="BF98" i="13" s="1"/>
  <c r="AT96" i="13"/>
  <c r="AY96" i="13" s="1"/>
  <c r="BD96" i="13" s="1"/>
  <c r="AU98" i="13"/>
  <c r="BG61" i="13"/>
  <c r="BN57" i="13" s="1"/>
  <c r="Y20" i="7" s="1"/>
  <c r="BH61" i="13"/>
  <c r="BG72" i="13" s="1"/>
  <c r="AU72" i="13"/>
  <c r="BE72" i="13"/>
  <c r="BF72" i="13" s="1"/>
  <c r="AY50" i="13"/>
  <c r="BD50" i="13" s="1"/>
  <c r="BE48" i="13"/>
  <c r="BF48" i="13" s="1"/>
  <c r="AR26" i="13"/>
  <c r="AS26" i="13" s="1"/>
  <c r="BB26" i="13"/>
  <c r="BF15" i="13"/>
  <c r="BD15" i="13"/>
  <c r="BE15" i="13" s="1"/>
  <c r="W225" i="13"/>
  <c r="Z310" i="12"/>
  <c r="AA310" i="12" s="1"/>
  <c r="AO208" i="13"/>
  <c r="AP208" i="13" s="1"/>
  <c r="AP225" i="13" s="1"/>
  <c r="AN242" i="13"/>
  <c r="AO242" i="13" s="1"/>
  <c r="AP242" i="13" s="1"/>
  <c r="AQ242" i="13" s="1"/>
  <c r="AR242" i="13" s="1"/>
  <c r="AJ269" i="12"/>
  <c r="AK268" i="12" s="1"/>
  <c r="AL268" i="12" s="1"/>
  <c r="AJ224" i="2"/>
  <c r="AL224" i="2" s="1"/>
  <c r="AJ223" i="2"/>
  <c r="AL223" i="2" s="1"/>
  <c r="M240" i="12"/>
  <c r="M237" i="12" s="1"/>
  <c r="O237" i="12" s="1"/>
  <c r="Z308" i="12"/>
  <c r="AA308" i="12" s="1"/>
  <c r="AA255" i="2"/>
  <c r="AR252" i="2" s="1"/>
  <c r="AA223" i="2"/>
  <c r="AJ192" i="2"/>
  <c r="AL192" i="2" s="1"/>
  <c r="J239" i="12"/>
  <c r="K239" i="12" s="1"/>
  <c r="K238" i="12"/>
  <c r="J281" i="12"/>
  <c r="K281" i="12" s="1"/>
  <c r="M284" i="12" s="1"/>
  <c r="K280" i="12"/>
  <c r="Z350" i="12"/>
  <c r="AA350" i="12" s="1"/>
  <c r="AA224" i="2"/>
  <c r="J322" i="12"/>
  <c r="K321" i="12"/>
  <c r="J364" i="12"/>
  <c r="K363" i="12"/>
  <c r="AH191" i="2"/>
  <c r="AJ193" i="2" s="1"/>
  <c r="AA192" i="2"/>
  <c r="M282" i="12"/>
  <c r="M139" i="12"/>
  <c r="W137" i="12"/>
  <c r="M151" i="12"/>
  <c r="W149" i="12"/>
  <c r="M127" i="12"/>
  <c r="W125" i="12"/>
  <c r="N93" i="12"/>
  <c r="Z91" i="12"/>
  <c r="BD272" i="12"/>
  <c r="BD295" i="12" s="1"/>
  <c r="Q85" i="7" s="1"/>
  <c r="S24" i="5" s="1"/>
  <c r="Q83" i="7"/>
  <c r="BD294" i="12"/>
  <c r="Z226" i="12"/>
  <c r="AA226" i="12" s="1"/>
  <c r="Z224" i="12"/>
  <c r="Z225" i="12"/>
  <c r="AA225" i="12" s="1"/>
  <c r="W161" i="12"/>
  <c r="M163" i="12"/>
  <c r="BE45" i="12"/>
  <c r="BE46" i="12" s="1"/>
  <c r="Q18" i="7" s="1"/>
  <c r="U13" i="5" s="1"/>
  <c r="Q22" i="7"/>
  <c r="R14" i="5" s="1"/>
  <c r="I11" i="15" s="1"/>
  <c r="BD66" i="12"/>
  <c r="Q23" i="7" s="1"/>
  <c r="S14" i="5" s="1"/>
  <c r="AK209" i="12"/>
  <c r="AL209" i="12" s="1"/>
  <c r="M115" i="12"/>
  <c r="W113" i="12"/>
  <c r="N77" i="2"/>
  <c r="N102" i="12"/>
  <c r="W100" i="12"/>
  <c r="W115" i="12"/>
  <c r="W93" i="2"/>
  <c r="AN180" i="12"/>
  <c r="AE189" i="12"/>
  <c r="AJ204" i="12"/>
  <c r="AM204" i="12" s="1"/>
  <c r="AF176" i="12"/>
  <c r="AK208" i="12"/>
  <c r="AJ202" i="12"/>
  <c r="AM202" i="12" s="1"/>
  <c r="AJ178" i="12"/>
  <c r="AH178" i="12"/>
  <c r="AI178" i="12" s="1"/>
  <c r="AJ115" i="12"/>
  <c r="AM115" i="12" s="1"/>
  <c r="AR135" i="13" s="1"/>
  <c r="AO115" i="12"/>
  <c r="AP115" i="12" s="1"/>
  <c r="E29" i="1"/>
  <c r="M95" i="2"/>
  <c r="AL187" i="12"/>
  <c r="AK153" i="2"/>
  <c r="AL153" i="2" s="1"/>
  <c r="AK148" i="2"/>
  <c r="AL148" i="2"/>
  <c r="AK157" i="2" s="1"/>
  <c r="V157" i="2"/>
  <c r="N84" i="2"/>
  <c r="D49" i="1"/>
  <c r="M135" i="2"/>
  <c r="D44" i="1"/>
  <c r="M125" i="2"/>
  <c r="D39" i="1"/>
  <c r="M115" i="2"/>
  <c r="D34" i="1"/>
  <c r="M105" i="2"/>
  <c r="D24" i="1"/>
  <c r="I100" i="7"/>
  <c r="G26" i="5" s="1"/>
  <c r="F24" i="15" s="1"/>
  <c r="I92" i="7"/>
  <c r="G25" i="5" s="1"/>
  <c r="F23" i="15" s="1"/>
  <c r="I84" i="7"/>
  <c r="G24" i="5" s="1"/>
  <c r="F22" i="15" s="1"/>
  <c r="I76" i="7"/>
  <c r="G23" i="5" s="1"/>
  <c r="F21" i="15" s="1"/>
  <c r="AR299" i="2"/>
  <c r="I101" i="7" s="1"/>
  <c r="H26" i="5" s="1"/>
  <c r="I28" i="7"/>
  <c r="G15" i="5" s="1"/>
  <c r="F12" i="15" s="1"/>
  <c r="AR70" i="2"/>
  <c r="I22" i="7"/>
  <c r="G14" i="5" s="1"/>
  <c r="F11" i="15" s="1"/>
  <c r="AR54" i="2"/>
  <c r="I16" i="7"/>
  <c r="G13" i="5" s="1"/>
  <c r="F10" i="15" s="1"/>
  <c r="AR38" i="2"/>
  <c r="AR235" i="2"/>
  <c r="AR267" i="2"/>
  <c r="W123" i="2"/>
  <c r="W103" i="2"/>
  <c r="W113" i="2"/>
  <c r="W133" i="2"/>
  <c r="W82" i="2"/>
  <c r="Z75" i="2"/>
  <c r="AR203" i="2"/>
  <c r="AS201" i="2" s="1"/>
  <c r="AM202" i="2"/>
  <c r="AM234" i="2"/>
  <c r="AM266" i="2"/>
  <c r="AM298" i="2"/>
  <c r="Y98" i="7" l="1"/>
  <c r="BN422" i="13"/>
  <c r="AI113" i="12"/>
  <c r="N111" i="13"/>
  <c r="N122" i="13"/>
  <c r="Z109" i="13"/>
  <c r="W120" i="13"/>
  <c r="AK107" i="13"/>
  <c r="AJ118" i="13"/>
  <c r="BG259" i="13"/>
  <c r="M193" i="13"/>
  <c r="AI189" i="13"/>
  <c r="W191" i="13"/>
  <c r="M179" i="13"/>
  <c r="W177" i="13"/>
  <c r="AI175" i="13"/>
  <c r="M165" i="13"/>
  <c r="W163" i="13"/>
  <c r="AI161" i="13"/>
  <c r="AI115" i="12"/>
  <c r="M139" i="13"/>
  <c r="W137" i="13"/>
  <c r="AT133" i="13"/>
  <c r="AI135" i="13"/>
  <c r="M137" i="13"/>
  <c r="W135" i="13"/>
  <c r="AI133" i="13"/>
  <c r="M151" i="13"/>
  <c r="W149" i="13"/>
  <c r="AI147" i="13"/>
  <c r="BH259" i="13"/>
  <c r="BG276" i="13" s="1"/>
  <c r="AR220" i="2"/>
  <c r="AR236" i="2" s="1"/>
  <c r="I86" i="7" s="1"/>
  <c r="BE251" i="12"/>
  <c r="BD356" i="12"/>
  <c r="BD381" i="12" s="1"/>
  <c r="Q101" i="7" s="1"/>
  <c r="S26" i="5" s="1"/>
  <c r="BD359" i="12"/>
  <c r="Q76" i="7"/>
  <c r="R23" i="5" s="1"/>
  <c r="T23" i="5" s="1"/>
  <c r="BN295" i="13"/>
  <c r="BD380" i="12"/>
  <c r="Q100" i="7" s="1"/>
  <c r="R26" i="5" s="1"/>
  <c r="Q99" i="7"/>
  <c r="Z371" i="13"/>
  <c r="AA371" i="13" s="1"/>
  <c r="BE50" i="13"/>
  <c r="BF50" i="13" s="1"/>
  <c r="BN43" i="13" s="1"/>
  <c r="Z374" i="13"/>
  <c r="AA374" i="13" s="1"/>
  <c r="T14" i="5"/>
  <c r="Z372" i="13"/>
  <c r="AA372" i="13" s="1"/>
  <c r="BN379" i="13"/>
  <c r="BN408" i="13" s="1"/>
  <c r="Y93" i="7" s="1"/>
  <c r="AD25" i="5" s="1"/>
  <c r="Y91" i="7"/>
  <c r="BN407" i="13"/>
  <c r="BI407" i="13" s="1"/>
  <c r="Q28" i="7"/>
  <c r="R15" i="5" s="1"/>
  <c r="I12" i="15" s="1"/>
  <c r="BD86" i="12"/>
  <c r="BH261" i="13"/>
  <c r="BG278" i="13" s="1"/>
  <c r="BG272" i="13"/>
  <c r="BK267" i="13" s="1"/>
  <c r="BK268" i="13" s="1"/>
  <c r="BF434" i="13"/>
  <c r="BN430" i="13" s="1"/>
  <c r="BN434" i="13" s="1"/>
  <c r="I26" i="5"/>
  <c r="M444" i="13"/>
  <c r="M440" i="13" s="1"/>
  <c r="O440" i="13" s="1"/>
  <c r="J442" i="13"/>
  <c r="K441" i="13"/>
  <c r="Z425" i="13"/>
  <c r="AA425" i="13" s="1"/>
  <c r="Z426" i="13"/>
  <c r="AA426" i="13" s="1"/>
  <c r="Z423" i="13"/>
  <c r="Z424" i="13"/>
  <c r="AA424" i="13" s="1"/>
  <c r="M392" i="13"/>
  <c r="M388" i="13" s="1"/>
  <c r="O388" i="13" s="1"/>
  <c r="J390" i="13"/>
  <c r="K389" i="13"/>
  <c r="BC338" i="13"/>
  <c r="AT338" i="13" s="1"/>
  <c r="BG261" i="13"/>
  <c r="Y82" i="7"/>
  <c r="AU276" i="13"/>
  <c r="AR337" i="13"/>
  <c r="AI337" i="13" s="1"/>
  <c r="AU330" i="13"/>
  <c r="BE330" i="13"/>
  <c r="BF330" i="13" s="1"/>
  <c r="BN311" i="13"/>
  <c r="BH324" i="13"/>
  <c r="BK320" i="13"/>
  <c r="BF282" i="13"/>
  <c r="AR284" i="13"/>
  <c r="AI284" i="13" s="1"/>
  <c r="BN293" i="13"/>
  <c r="Y73" i="7"/>
  <c r="AU278" i="13"/>
  <c r="BE278" i="13"/>
  <c r="BF278" i="13" s="1"/>
  <c r="AR285" i="13"/>
  <c r="AI285" i="13" s="1"/>
  <c r="BC286" i="13"/>
  <c r="AT286" i="13" s="1"/>
  <c r="BE276" i="13"/>
  <c r="BF276" i="13" s="1"/>
  <c r="BD314" i="12"/>
  <c r="BD337" i="12" s="1"/>
  <c r="Q93" i="7" s="1"/>
  <c r="S25" i="5" s="1"/>
  <c r="BD336" i="12"/>
  <c r="Q91" i="7"/>
  <c r="BH271" i="13"/>
  <c r="AH176" i="12"/>
  <c r="AI176" i="12" s="1"/>
  <c r="AF189" i="12"/>
  <c r="AS242" i="13"/>
  <c r="AV249" i="13" s="1"/>
  <c r="AW249" i="13" s="1"/>
  <c r="BE227" i="13"/>
  <c r="BF227" i="13" s="1"/>
  <c r="AQ208" i="13"/>
  <c r="BE118" i="13"/>
  <c r="AY122" i="13"/>
  <c r="BD122" i="13" s="1"/>
  <c r="BH107" i="13"/>
  <c r="BG118" i="13" s="1"/>
  <c r="AU96" i="13"/>
  <c r="BE96" i="13"/>
  <c r="BF96" i="13" s="1"/>
  <c r="BG15" i="13"/>
  <c r="BN67" i="13"/>
  <c r="Y21" i="7" s="1"/>
  <c r="AT26" i="13"/>
  <c r="AU26" i="13" s="1"/>
  <c r="BH15" i="13"/>
  <c r="BG26" i="13" s="1"/>
  <c r="AK267" i="12"/>
  <c r="AL267" i="12" s="1"/>
  <c r="AK266" i="12"/>
  <c r="AL266" i="12" s="1"/>
  <c r="AS135" i="13"/>
  <c r="AJ354" i="12"/>
  <c r="AK350" i="12" s="1"/>
  <c r="AL350" i="12" s="1"/>
  <c r="AJ312" i="12"/>
  <c r="AK308" i="12" s="1"/>
  <c r="AL308" i="12" s="1"/>
  <c r="J365" i="12"/>
  <c r="K365" i="12" s="1"/>
  <c r="K364" i="12"/>
  <c r="M242" i="12"/>
  <c r="M239" i="12" s="1"/>
  <c r="O239" i="12" s="1"/>
  <c r="M324" i="12"/>
  <c r="M283" i="12"/>
  <c r="M280" i="12" s="1"/>
  <c r="O280" i="12" s="1"/>
  <c r="AR300" i="2"/>
  <c r="I102" i="7" s="1"/>
  <c r="AJ191" i="2"/>
  <c r="AL191" i="2" s="1"/>
  <c r="AR188" i="2" s="1"/>
  <c r="J323" i="12"/>
  <c r="K323" i="12" s="1"/>
  <c r="K322" i="12"/>
  <c r="M281" i="12"/>
  <c r="O281" i="12" s="1"/>
  <c r="M279" i="12"/>
  <c r="W279" i="12" s="1"/>
  <c r="M366" i="12"/>
  <c r="M363" i="12" s="1"/>
  <c r="O363" i="12" s="1"/>
  <c r="M241" i="12"/>
  <c r="M238" i="12" s="1"/>
  <c r="O238" i="12" s="1"/>
  <c r="W237" i="12"/>
  <c r="AK178" i="12"/>
  <c r="N95" i="12"/>
  <c r="N104" i="12"/>
  <c r="Z93" i="12"/>
  <c r="AK91" i="12"/>
  <c r="AJ100" i="12"/>
  <c r="M141" i="12"/>
  <c r="W139" i="12"/>
  <c r="AI137" i="12"/>
  <c r="M129" i="12"/>
  <c r="W127" i="12"/>
  <c r="AI125" i="12"/>
  <c r="M153" i="12"/>
  <c r="W151" i="12"/>
  <c r="AI149" i="12"/>
  <c r="Q84" i="7"/>
  <c r="R24" i="5" s="1"/>
  <c r="AY294" i="12"/>
  <c r="BE293" i="12"/>
  <c r="AA224" i="12"/>
  <c r="AJ227" i="12"/>
  <c r="AI161" i="12"/>
  <c r="M165" i="12"/>
  <c r="W163" i="12"/>
  <c r="BE65" i="12"/>
  <c r="BE66" i="12" s="1"/>
  <c r="Q24" i="7" s="1"/>
  <c r="U14" i="5" s="1"/>
  <c r="E24" i="1"/>
  <c r="AU118" i="13" s="1"/>
  <c r="W102" i="12"/>
  <c r="E39" i="1"/>
  <c r="E49" i="1"/>
  <c r="E34" i="1"/>
  <c r="E44" i="1"/>
  <c r="W117" i="12"/>
  <c r="AT113" i="12"/>
  <c r="AO180" i="12"/>
  <c r="AP180" i="12" s="1"/>
  <c r="AN206" i="12"/>
  <c r="AO206" i="12" s="1"/>
  <c r="AP206" i="12" s="1"/>
  <c r="AQ206" i="12" s="1"/>
  <c r="AR206" i="12" s="1"/>
  <c r="AJ176" i="12"/>
  <c r="T189" i="12"/>
  <c r="U189" i="12" s="1"/>
  <c r="AK186" i="12"/>
  <c r="AL186" i="12" s="1"/>
  <c r="AL208" i="12"/>
  <c r="AC191" i="12"/>
  <c r="AL178" i="12"/>
  <c r="AK191" i="12" s="1"/>
  <c r="AM191" i="12" s="1"/>
  <c r="AN178" i="12"/>
  <c r="AQ115" i="12"/>
  <c r="F29" i="1"/>
  <c r="W191" i="12"/>
  <c r="V160" i="2"/>
  <c r="AS233" i="2"/>
  <c r="AR268" i="2"/>
  <c r="I94" i="7" s="1"/>
  <c r="AC157" i="2"/>
  <c r="AH157" i="2" s="1"/>
  <c r="W157" i="2"/>
  <c r="AS297" i="2"/>
  <c r="I85" i="7"/>
  <c r="H24" i="5" s="1"/>
  <c r="AS265" i="2"/>
  <c r="I93" i="7"/>
  <c r="H25" i="5" s="1"/>
  <c r="I77" i="7"/>
  <c r="H23" i="5" s="1"/>
  <c r="AS53" i="2"/>
  <c r="AS54" i="2" s="1"/>
  <c r="I23" i="7"/>
  <c r="H14" i="5" s="1"/>
  <c r="I14" i="5" s="1"/>
  <c r="AS37" i="2"/>
  <c r="AS38" i="2" s="1"/>
  <c r="I17" i="7"/>
  <c r="H13" i="5" s="1"/>
  <c r="AS69" i="2"/>
  <c r="AS70" i="2" s="1"/>
  <c r="I29" i="7"/>
  <c r="H15" i="5" s="1"/>
  <c r="W95" i="2"/>
  <c r="W84" i="2"/>
  <c r="Z77" i="2"/>
  <c r="AJ82" i="2"/>
  <c r="AK75" i="2"/>
  <c r="W115" i="2"/>
  <c r="AI113" i="2"/>
  <c r="BN257" i="13" l="1"/>
  <c r="BN266" i="13" s="1"/>
  <c r="T26" i="5"/>
  <c r="N113" i="13"/>
  <c r="N124" i="13"/>
  <c r="Z111" i="13"/>
  <c r="AK109" i="13"/>
  <c r="W122" i="13"/>
  <c r="AJ120" i="13"/>
  <c r="AV91" i="12"/>
  <c r="AV107" i="13"/>
  <c r="AU100" i="12"/>
  <c r="AY380" i="12"/>
  <c r="BE379" i="12"/>
  <c r="AK185" i="12"/>
  <c r="BA182" i="12" s="1"/>
  <c r="BA183" i="12" s="1"/>
  <c r="J195" i="12" s="1"/>
  <c r="M195" i="13"/>
  <c r="AT189" i="13"/>
  <c r="W193" i="13"/>
  <c r="AI191" i="13"/>
  <c r="M181" i="13"/>
  <c r="W179" i="13"/>
  <c r="AI177" i="13"/>
  <c r="AT175" i="13"/>
  <c r="M167" i="13"/>
  <c r="W165" i="13"/>
  <c r="AI163" i="13"/>
  <c r="AT161" i="13"/>
  <c r="AT137" i="12"/>
  <c r="W139" i="13"/>
  <c r="AI137" i="13"/>
  <c r="BE133" i="13"/>
  <c r="AT135" i="13"/>
  <c r="M153" i="13"/>
  <c r="W151" i="13"/>
  <c r="AT125" i="12"/>
  <c r="AI149" i="13"/>
  <c r="AT147" i="13"/>
  <c r="I21" i="15"/>
  <c r="BH272" i="13"/>
  <c r="BC337" i="13"/>
  <c r="AT337" i="13" s="1"/>
  <c r="J284" i="13"/>
  <c r="J285" i="13" s="1"/>
  <c r="Y272" i="13"/>
  <c r="Z270" i="13" s="1"/>
  <c r="I24" i="15"/>
  <c r="T24" i="5"/>
  <c r="I22" i="15"/>
  <c r="AJ377" i="13"/>
  <c r="AK371" i="13" s="1"/>
  <c r="AL371" i="13" s="1"/>
  <c r="I25" i="5"/>
  <c r="AO25" i="5"/>
  <c r="I13" i="5"/>
  <c r="Q29" i="7"/>
  <c r="S15" i="5" s="1"/>
  <c r="T15" i="5" s="1"/>
  <c r="BE85" i="12"/>
  <c r="I24" i="5"/>
  <c r="I23" i="5"/>
  <c r="Y99" i="7"/>
  <c r="BN461" i="13"/>
  <c r="BI461" i="13" s="1"/>
  <c r="Y92" i="7"/>
  <c r="AC25" i="5" s="1"/>
  <c r="BO406" i="13"/>
  <c r="I15" i="5"/>
  <c r="J443" i="13"/>
  <c r="K443" i="13" s="1"/>
  <c r="K442" i="13"/>
  <c r="W440" i="13"/>
  <c r="M445" i="13"/>
  <c r="M441" i="13" s="1"/>
  <c r="O441" i="13" s="1"/>
  <c r="BN431" i="13"/>
  <c r="BN462" i="13" s="1"/>
  <c r="Y101" i="7" s="1"/>
  <c r="AD26" i="5" s="1"/>
  <c r="AO26" i="5" s="1"/>
  <c r="AJ429" i="13"/>
  <c r="AA423" i="13"/>
  <c r="J391" i="13"/>
  <c r="K391" i="13" s="1"/>
  <c r="M395" i="13" s="1"/>
  <c r="M391" i="13" s="1"/>
  <c r="K390" i="13"/>
  <c r="W388" i="13"/>
  <c r="M393" i="13"/>
  <c r="M389" i="13" s="1"/>
  <c r="O389" i="13" s="1"/>
  <c r="BN326" i="13"/>
  <c r="J336" i="13"/>
  <c r="Y325" i="13"/>
  <c r="BN274" i="13"/>
  <c r="BC284" i="13"/>
  <c r="AT284" i="13" s="1"/>
  <c r="BC285" i="13"/>
  <c r="AT285" i="13" s="1"/>
  <c r="AY336" i="12"/>
  <c r="Q92" i="7"/>
  <c r="R25" i="5" s="1"/>
  <c r="I23" i="15" s="1"/>
  <c r="BE335" i="12"/>
  <c r="AU242" i="13"/>
  <c r="AX242" i="13" s="1"/>
  <c r="AT242" i="13"/>
  <c r="BC233" i="13"/>
  <c r="AT233" i="13" s="1"/>
  <c r="AQ225" i="13"/>
  <c r="AG225" i="13"/>
  <c r="AH225" i="13" s="1"/>
  <c r="AU208" i="13"/>
  <c r="AS208" i="13"/>
  <c r="AT208" i="13" s="1"/>
  <c r="AY135" i="13"/>
  <c r="AZ135" i="13" s="1"/>
  <c r="BA135" i="13" s="1"/>
  <c r="BE122" i="13"/>
  <c r="BN91" i="13"/>
  <c r="Y27" i="7" s="1"/>
  <c r="BN68" i="13"/>
  <c r="BN78" i="13" s="1"/>
  <c r="Y23" i="7" s="1"/>
  <c r="AD14" i="5" s="1"/>
  <c r="AO14" i="5" s="1"/>
  <c r="Y15" i="7"/>
  <c r="BN44" i="13"/>
  <c r="AY26" i="13"/>
  <c r="BD26" i="13" s="1"/>
  <c r="AK309" i="12"/>
  <c r="AL309" i="12" s="1"/>
  <c r="AU269" i="12"/>
  <c r="AV267" i="12" s="1"/>
  <c r="AW267" i="12" s="1"/>
  <c r="AK352" i="12"/>
  <c r="AL352" i="12" s="1"/>
  <c r="AK351" i="12"/>
  <c r="AL351" i="12" s="1"/>
  <c r="AK310" i="12"/>
  <c r="AL310" i="12" s="1"/>
  <c r="AU135" i="13"/>
  <c r="AX135" i="13" s="1"/>
  <c r="AR204" i="2"/>
  <c r="W281" i="12"/>
  <c r="Y284" i="12" s="1"/>
  <c r="Y281" i="12" s="1"/>
  <c r="AA281" i="12" s="1"/>
  <c r="AS300" i="2"/>
  <c r="W238" i="12"/>
  <c r="Y241" i="12" s="1"/>
  <c r="M367" i="12"/>
  <c r="M364" i="12" s="1"/>
  <c r="O364" i="12" s="1"/>
  <c r="Y282" i="12"/>
  <c r="Y279" i="12" s="1"/>
  <c r="AA279" i="12" s="1"/>
  <c r="M325" i="12"/>
  <c r="M321" i="12"/>
  <c r="W321" i="12" s="1"/>
  <c r="Y324" i="12" s="1"/>
  <c r="M368" i="12"/>
  <c r="M365" i="12" s="1"/>
  <c r="O365" i="12" s="1"/>
  <c r="O279" i="12"/>
  <c r="M326" i="12"/>
  <c r="M323" i="12" s="1"/>
  <c r="O323" i="12" s="1"/>
  <c r="W239" i="12"/>
  <c r="Y240" i="12"/>
  <c r="W363" i="12"/>
  <c r="W280" i="12"/>
  <c r="L160" i="2"/>
  <c r="AI115" i="2"/>
  <c r="AR111" i="2" s="1"/>
  <c r="W141" i="12"/>
  <c r="AI139" i="12"/>
  <c r="W153" i="12"/>
  <c r="AI151" i="12"/>
  <c r="AT149" i="12"/>
  <c r="W129" i="12"/>
  <c r="AI127" i="12"/>
  <c r="Z95" i="12"/>
  <c r="W104" i="12"/>
  <c r="AK93" i="12"/>
  <c r="AJ102" i="12"/>
  <c r="AK225" i="12"/>
  <c r="AL225" i="12" s="1"/>
  <c r="AK226" i="12"/>
  <c r="AL226" i="12" s="1"/>
  <c r="AK224" i="12"/>
  <c r="AT161" i="12"/>
  <c r="W165" i="12"/>
  <c r="AI163" i="12"/>
  <c r="F34" i="1"/>
  <c r="F44" i="1"/>
  <c r="F39" i="1"/>
  <c r="G29" i="1"/>
  <c r="AI117" i="12"/>
  <c r="F49" i="1"/>
  <c r="F24" i="1"/>
  <c r="BF118" i="13" s="1"/>
  <c r="AK176" i="12"/>
  <c r="AQ180" i="12"/>
  <c r="AQ193" i="12" s="1"/>
  <c r="AP193" i="12"/>
  <c r="AS206" i="12"/>
  <c r="AU206" i="12" s="1"/>
  <c r="AN176" i="12"/>
  <c r="AO176" i="12" s="1"/>
  <c r="AO178" i="12"/>
  <c r="AP178" i="12" s="1"/>
  <c r="AP191" i="12" s="1"/>
  <c r="AN204" i="12"/>
  <c r="AO204" i="12" s="1"/>
  <c r="AP204" i="12" s="1"/>
  <c r="AQ204" i="12" s="1"/>
  <c r="AR204" i="12" s="1"/>
  <c r="AM178" i="12"/>
  <c r="AR115" i="12"/>
  <c r="AS236" i="2"/>
  <c r="AS268" i="2"/>
  <c r="AG160" i="2"/>
  <c r="X160" i="2" s="1"/>
  <c r="AI157" i="2"/>
  <c r="AJ157" i="2" s="1"/>
  <c r="I18" i="7"/>
  <c r="J13" i="5" s="1"/>
  <c r="I30" i="7"/>
  <c r="J15" i="5" s="1"/>
  <c r="W105" i="2"/>
  <c r="AI103" i="2"/>
  <c r="AJ84" i="2"/>
  <c r="AR79" i="2" s="1"/>
  <c r="AK77" i="2"/>
  <c r="AR73" i="2" s="1"/>
  <c r="W125" i="2"/>
  <c r="AI123" i="2"/>
  <c r="W135" i="2"/>
  <c r="AI133" i="2"/>
  <c r="AI125" i="2"/>
  <c r="AI135" i="2"/>
  <c r="AI105" i="2"/>
  <c r="Y74" i="7" l="1"/>
  <c r="BN259" i="13"/>
  <c r="K284" i="13"/>
  <c r="M288" i="13" s="1"/>
  <c r="M284" i="13" s="1"/>
  <c r="O284" i="13" s="1"/>
  <c r="AK372" i="13"/>
  <c r="AL372" i="13" s="1"/>
  <c r="Z113" i="13"/>
  <c r="W124" i="13"/>
  <c r="AK111" i="13"/>
  <c r="AV109" i="13"/>
  <c r="AJ122" i="13"/>
  <c r="AU120" i="13"/>
  <c r="BG107" i="13"/>
  <c r="W195" i="13"/>
  <c r="BE189" i="13"/>
  <c r="AI193" i="13"/>
  <c r="AT163" i="12"/>
  <c r="AT191" i="13"/>
  <c r="W181" i="13"/>
  <c r="AI179" i="13"/>
  <c r="AT151" i="12"/>
  <c r="AT177" i="13"/>
  <c r="BE175" i="13"/>
  <c r="W167" i="13"/>
  <c r="AI165" i="13"/>
  <c r="AT163" i="13"/>
  <c r="BE161" i="13"/>
  <c r="AI139" i="13"/>
  <c r="AT117" i="12"/>
  <c r="AT137" i="13"/>
  <c r="W153" i="13"/>
  <c r="AI151" i="13"/>
  <c r="AT149" i="13"/>
  <c r="BE147" i="13"/>
  <c r="AK374" i="13"/>
  <c r="AL374" i="13" s="1"/>
  <c r="AK373" i="13"/>
  <c r="AL373" i="13" s="1"/>
  <c r="Z320" i="13"/>
  <c r="AA320" i="13" s="1"/>
  <c r="Z321" i="13"/>
  <c r="AA321" i="13" s="1"/>
  <c r="Z319" i="13"/>
  <c r="Z322" i="13"/>
  <c r="AA322" i="13" s="1"/>
  <c r="Z269" i="13"/>
  <c r="AA269" i="13" s="1"/>
  <c r="Z267" i="13"/>
  <c r="AA267" i="13" s="1"/>
  <c r="Z268" i="13"/>
  <c r="AA268" i="13" s="1"/>
  <c r="AA270" i="13"/>
  <c r="Y83" i="7"/>
  <c r="BN330" i="13"/>
  <c r="BN275" i="13"/>
  <c r="BN278" i="13"/>
  <c r="AE25" i="5"/>
  <c r="L23" i="15"/>
  <c r="N23" i="15" s="1"/>
  <c r="BN355" i="13"/>
  <c r="BI355" i="13" s="1"/>
  <c r="BO460" i="13"/>
  <c r="Y100" i="7"/>
  <c r="AC26" i="5" s="1"/>
  <c r="L24" i="15" s="1"/>
  <c r="N24" i="15" s="1"/>
  <c r="T25" i="5"/>
  <c r="AN25" i="5"/>
  <c r="BN327" i="13"/>
  <c r="BN356" i="13" s="1"/>
  <c r="Y85" i="7" s="1"/>
  <c r="AD24" i="5" s="1"/>
  <c r="AO24" i="5" s="1"/>
  <c r="AV210" i="12"/>
  <c r="AW210" i="12" s="1"/>
  <c r="Y444" i="13"/>
  <c r="Y440" i="13" s="1"/>
  <c r="AA440" i="13" s="1"/>
  <c r="M446" i="13"/>
  <c r="M442" i="13" s="1"/>
  <c r="O442" i="13" s="1"/>
  <c r="W441" i="13"/>
  <c r="M447" i="13"/>
  <c r="M443" i="13" s="1"/>
  <c r="O443" i="13" s="1"/>
  <c r="AK424" i="13"/>
  <c r="AL424" i="13" s="1"/>
  <c r="AK423" i="13"/>
  <c r="AK426" i="13"/>
  <c r="AL426" i="13" s="1"/>
  <c r="AK425" i="13"/>
  <c r="AL425" i="13" s="1"/>
  <c r="Y392" i="13"/>
  <c r="Y388" i="13" s="1"/>
  <c r="AA388" i="13" s="1"/>
  <c r="M394" i="13"/>
  <c r="M390" i="13" s="1"/>
  <c r="O390" i="13" s="1"/>
  <c r="W391" i="13"/>
  <c r="O391" i="13"/>
  <c r="W389" i="13"/>
  <c r="K336" i="13"/>
  <c r="J337" i="13"/>
  <c r="Y75" i="7"/>
  <c r="BN303" i="13"/>
  <c r="J286" i="13"/>
  <c r="K285" i="13"/>
  <c r="AT206" i="12"/>
  <c r="AV219" i="13"/>
  <c r="AW219" i="13" s="1"/>
  <c r="AI225" i="13"/>
  <c r="AN225" i="13" s="1"/>
  <c r="AW208" i="13"/>
  <c r="AV208" i="13"/>
  <c r="AY208" i="13"/>
  <c r="BB135" i="13"/>
  <c r="BC135" i="13" s="1"/>
  <c r="Y22" i="7"/>
  <c r="AC14" i="5" s="1"/>
  <c r="L11" i="15" s="1"/>
  <c r="N11" i="15" s="1"/>
  <c r="BN92" i="13"/>
  <c r="BN102" i="13" s="1"/>
  <c r="Y29" i="7" s="1"/>
  <c r="AD15" i="5" s="1"/>
  <c r="AO15" i="5" s="1"/>
  <c r="BO77" i="13"/>
  <c r="BO78" i="13" s="1"/>
  <c r="Y24" i="7" s="1"/>
  <c r="AF14" i="5" s="1"/>
  <c r="Y16" i="7"/>
  <c r="AC13" i="5" s="1"/>
  <c r="L10" i="15" s="1"/>
  <c r="N10" i="15" s="1"/>
  <c r="BN54" i="13"/>
  <c r="Y17" i="7" s="1"/>
  <c r="AD13" i="5" s="1"/>
  <c r="AO13" i="5" s="1"/>
  <c r="BE26" i="13"/>
  <c r="BF26" i="13" s="1"/>
  <c r="AU353" i="12"/>
  <c r="AV352" i="12" s="1"/>
  <c r="AW352" i="12" s="1"/>
  <c r="I103" i="7"/>
  <c r="J26" i="5" s="1"/>
  <c r="AU311" i="12"/>
  <c r="AV310" i="12" s="1"/>
  <c r="AW310" i="12" s="1"/>
  <c r="AV268" i="12"/>
  <c r="AW268" i="12" s="1"/>
  <c r="AV266" i="12"/>
  <c r="AW266" i="12" s="1"/>
  <c r="W364" i="12"/>
  <c r="Y367" i="12" s="1"/>
  <c r="Y364" i="12" s="1"/>
  <c r="AA364" i="12" s="1"/>
  <c r="AH279" i="12"/>
  <c r="AJ282" i="12" s="1"/>
  <c r="I78" i="7"/>
  <c r="AS204" i="2"/>
  <c r="I79" i="7" s="1"/>
  <c r="J23" i="5" s="1"/>
  <c r="W323" i="12"/>
  <c r="Y326" i="12" s="1"/>
  <c r="AH281" i="12"/>
  <c r="AJ284" i="12" s="1"/>
  <c r="M322" i="12"/>
  <c r="W322" i="12" s="1"/>
  <c r="Y238" i="12"/>
  <c r="AH238" i="12" s="1"/>
  <c r="Y283" i="12"/>
  <c r="Y242" i="12"/>
  <c r="Y321" i="12"/>
  <c r="AA321" i="12" s="1"/>
  <c r="Y366" i="12"/>
  <c r="Y363" i="12" s="1"/>
  <c r="AA363" i="12" s="1"/>
  <c r="O321" i="12"/>
  <c r="J196" i="12"/>
  <c r="K195" i="12"/>
  <c r="Y237" i="12"/>
  <c r="AH237" i="12" s="1"/>
  <c r="W365" i="12"/>
  <c r="G34" i="1"/>
  <c r="AI129" i="12"/>
  <c r="G24" i="1"/>
  <c r="AK95" i="12"/>
  <c r="AJ104" i="12"/>
  <c r="AV93" i="12"/>
  <c r="AU102" i="12"/>
  <c r="G39" i="1"/>
  <c r="AI141" i="12"/>
  <c r="AT139" i="12"/>
  <c r="G44" i="1"/>
  <c r="AI153" i="12"/>
  <c r="AU227" i="12"/>
  <c r="AL224" i="12"/>
  <c r="Y185" i="12"/>
  <c r="Z184" i="12" s="1"/>
  <c r="AA184" i="12" s="1"/>
  <c r="G49" i="1"/>
  <c r="AI165" i="12"/>
  <c r="H29" i="1"/>
  <c r="AU180" i="12"/>
  <c r="AG193" i="12"/>
  <c r="AH193" i="12" s="1"/>
  <c r="AS180" i="12"/>
  <c r="AT180" i="12" s="1"/>
  <c r="AP176" i="12"/>
  <c r="AN202" i="12"/>
  <c r="AO202" i="12" s="1"/>
  <c r="AP202" i="12" s="1"/>
  <c r="AQ202" i="12" s="1"/>
  <c r="AR202" i="12" s="1"/>
  <c r="AQ178" i="12"/>
  <c r="AS204" i="12"/>
  <c r="AU204" i="12" s="1"/>
  <c r="AS115" i="12"/>
  <c r="AU115" i="12" s="1"/>
  <c r="I95" i="7"/>
  <c r="J25" i="5" s="1"/>
  <c r="I87" i="7"/>
  <c r="J24" i="5" s="1"/>
  <c r="AR101" i="2"/>
  <c r="AR131" i="2"/>
  <c r="AR121" i="2"/>
  <c r="I24" i="7"/>
  <c r="J14" i="5" s="1"/>
  <c r="BN304" i="13" l="1"/>
  <c r="Y77" i="7" s="1"/>
  <c r="AD23" i="5" s="1"/>
  <c r="AO23" i="5" s="1"/>
  <c r="AV308" i="12"/>
  <c r="AW308" i="12" s="1"/>
  <c r="AK113" i="13"/>
  <c r="AJ124" i="13"/>
  <c r="AV111" i="13"/>
  <c r="BG109" i="13"/>
  <c r="BF120" i="13"/>
  <c r="AU122" i="13"/>
  <c r="AU376" i="13"/>
  <c r="AV373" i="13" s="1"/>
  <c r="AW373" i="13" s="1"/>
  <c r="BD262" i="12"/>
  <c r="AI195" i="13"/>
  <c r="AT165" i="12"/>
  <c r="BD159" i="12" s="1"/>
  <c r="AT193" i="13"/>
  <c r="BE191" i="13"/>
  <c r="AI181" i="13"/>
  <c r="AT179" i="13"/>
  <c r="BE177" i="13"/>
  <c r="AI167" i="13"/>
  <c r="AT165" i="13"/>
  <c r="BE163" i="13"/>
  <c r="AT141" i="12"/>
  <c r="BD135" i="12" s="1"/>
  <c r="I29" i="1"/>
  <c r="AT139" i="13"/>
  <c r="BE137" i="13"/>
  <c r="AI153" i="13"/>
  <c r="AT151" i="13"/>
  <c r="AT129" i="12"/>
  <c r="BE149" i="13"/>
  <c r="AQ14" i="5"/>
  <c r="AP25" i="5"/>
  <c r="Y84" i="7"/>
  <c r="AC24" i="5" s="1"/>
  <c r="L22" i="15" s="1"/>
  <c r="N22" i="15" s="1"/>
  <c r="BO354" i="13"/>
  <c r="AH388" i="13"/>
  <c r="AJ392" i="13" s="1"/>
  <c r="AJ388" i="13" s="1"/>
  <c r="AL388" i="13" s="1"/>
  <c r="AV180" i="12"/>
  <c r="AE14" i="5"/>
  <c r="AP14" i="5" s="1"/>
  <c r="AN14" i="5"/>
  <c r="AH440" i="13"/>
  <c r="AJ444" i="13" s="1"/>
  <c r="AJ440" i="13" s="1"/>
  <c r="AL440" i="13" s="1"/>
  <c r="AV209" i="12"/>
  <c r="AW209" i="12" s="1"/>
  <c r="AE26" i="5"/>
  <c r="AP26" i="5" s="1"/>
  <c r="AN26" i="5"/>
  <c r="AE13" i="5"/>
  <c r="AP13" i="5" s="1"/>
  <c r="AN13" i="5"/>
  <c r="W443" i="13"/>
  <c r="Y447" i="13" s="1"/>
  <c r="Y443" i="13" s="1"/>
  <c r="AA443" i="13" s="1"/>
  <c r="Y445" i="13"/>
  <c r="Y441" i="13" s="1"/>
  <c r="AA441" i="13" s="1"/>
  <c r="W442" i="13"/>
  <c r="AL423" i="13"/>
  <c r="AU428" i="13"/>
  <c r="Y395" i="13"/>
  <c r="Y391" i="13" s="1"/>
  <c r="AA391" i="13" s="1"/>
  <c r="Y393" i="13"/>
  <c r="Y389" i="13" s="1"/>
  <c r="AA389" i="13" s="1"/>
  <c r="W390" i="13"/>
  <c r="K337" i="13"/>
  <c r="J338" i="13"/>
  <c r="AJ324" i="13"/>
  <c r="AA319" i="13"/>
  <c r="M340" i="13"/>
  <c r="M336" i="13" s="1"/>
  <c r="O336" i="13" s="1"/>
  <c r="BI303" i="13"/>
  <c r="BO302" i="13"/>
  <c r="Y76" i="7"/>
  <c r="AC23" i="5" s="1"/>
  <c r="L21" i="15" s="1"/>
  <c r="N21" i="15" s="1"/>
  <c r="M289" i="13"/>
  <c r="M285" i="13" s="1"/>
  <c r="O285" i="13" s="1"/>
  <c r="J287" i="13"/>
  <c r="K287" i="13" s="1"/>
  <c r="K286" i="13"/>
  <c r="W284" i="13"/>
  <c r="AV351" i="12"/>
  <c r="AW351" i="12" s="1"/>
  <c r="AV350" i="12"/>
  <c r="AW350" i="12" s="1"/>
  <c r="AJ272" i="13"/>
  <c r="AG191" i="12"/>
  <c r="AH191" i="12" s="1"/>
  <c r="AI191" i="12" s="1"/>
  <c r="AN191" i="12" s="1"/>
  <c r="AS191" i="12" s="1"/>
  <c r="AT191" i="12" s="1"/>
  <c r="AQ191" i="12"/>
  <c r="AP189" i="12"/>
  <c r="AZ208" i="13"/>
  <c r="BA208" i="13" s="1"/>
  <c r="BA225" i="13" s="1"/>
  <c r="AY242" i="13"/>
  <c r="AZ242" i="13" s="1"/>
  <c r="BA242" i="13" s="1"/>
  <c r="AG232" i="13"/>
  <c r="X232" i="13" s="1"/>
  <c r="AX208" i="13"/>
  <c r="AV225" i="13"/>
  <c r="AX225" i="13" s="1"/>
  <c r="BD135" i="13"/>
  <c r="BF135" i="13" s="1"/>
  <c r="Y28" i="7"/>
  <c r="AC15" i="5" s="1"/>
  <c r="L12" i="15" s="1"/>
  <c r="N12" i="15" s="1"/>
  <c r="BO101" i="13"/>
  <c r="BO102" i="13" s="1"/>
  <c r="Y30" i="7" s="1"/>
  <c r="AF15" i="5" s="1"/>
  <c r="BO53" i="13"/>
  <c r="BO54" i="13" s="1"/>
  <c r="Y18" i="7" s="1"/>
  <c r="AF13" i="5" s="1"/>
  <c r="AQ13" i="5" s="1"/>
  <c r="AV309" i="12"/>
  <c r="AW309" i="12" s="1"/>
  <c r="BD304" i="12" s="1"/>
  <c r="AW220" i="13"/>
  <c r="AH364" i="12"/>
  <c r="AJ368" i="12" s="1"/>
  <c r="J197" i="12"/>
  <c r="K197" i="12" s="1"/>
  <c r="K196" i="12"/>
  <c r="Y325" i="12"/>
  <c r="AJ240" i="12"/>
  <c r="AJ237" i="12" s="1"/>
  <c r="AL237" i="12" s="1"/>
  <c r="Y323" i="12"/>
  <c r="AH323" i="12" s="1"/>
  <c r="AA237" i="12"/>
  <c r="AJ281" i="12"/>
  <c r="Y239" i="12"/>
  <c r="AH239" i="12" s="1"/>
  <c r="AJ241" i="12"/>
  <c r="Y368" i="12"/>
  <c r="Y365" i="12" s="1"/>
  <c r="AA365" i="12" s="1"/>
  <c r="Y280" i="12"/>
  <c r="AH280" i="12" s="1"/>
  <c r="AH321" i="12"/>
  <c r="O322" i="12"/>
  <c r="AH363" i="12"/>
  <c r="AJ279" i="12"/>
  <c r="AA238" i="12"/>
  <c r="H44" i="1"/>
  <c r="AT153" i="12"/>
  <c r="BD147" i="12" s="1"/>
  <c r="H24" i="1"/>
  <c r="AV95" i="12"/>
  <c r="BD89" i="12" s="1"/>
  <c r="AU104" i="12"/>
  <c r="BD97" i="12" s="1"/>
  <c r="Q33" i="7" s="1"/>
  <c r="H39" i="1"/>
  <c r="H34" i="1"/>
  <c r="AV226" i="12"/>
  <c r="AW226" i="12" s="1"/>
  <c r="AV225" i="12"/>
  <c r="AW225" i="12" s="1"/>
  <c r="AV224" i="12"/>
  <c r="AW224" i="12" s="1"/>
  <c r="AS202" i="12"/>
  <c r="AT204" i="12"/>
  <c r="Z182" i="12"/>
  <c r="AA182" i="12" s="1"/>
  <c r="Z183" i="12"/>
  <c r="AA183" i="12" s="1"/>
  <c r="AW180" i="12"/>
  <c r="AV193" i="12" s="1"/>
  <c r="H49" i="1"/>
  <c r="AR127" i="12"/>
  <c r="AI193" i="12"/>
  <c r="AJ193" i="12" s="1"/>
  <c r="AV187" i="12"/>
  <c r="AW187" i="12" s="1"/>
  <c r="AU178" i="12"/>
  <c r="AS178" i="12"/>
  <c r="AT178" i="12" s="1"/>
  <c r="AT115" i="12"/>
  <c r="BD111" i="12" s="1"/>
  <c r="Y146" i="2"/>
  <c r="Z152" i="2" s="1"/>
  <c r="I49" i="7"/>
  <c r="G19" i="5" s="1"/>
  <c r="F16" i="15" s="1"/>
  <c r="AR116" i="2"/>
  <c r="I33" i="7"/>
  <c r="I32" i="7"/>
  <c r="L155" i="2"/>
  <c r="Q155" i="2" s="1"/>
  <c r="AV371" i="13" l="1"/>
  <c r="AW371" i="13" s="1"/>
  <c r="AV374" i="13"/>
  <c r="AW374" i="13" s="1"/>
  <c r="AV372" i="13"/>
  <c r="AW372" i="13" s="1"/>
  <c r="I24" i="1"/>
  <c r="AV113" i="13"/>
  <c r="AU124" i="13"/>
  <c r="BG111" i="13"/>
  <c r="BF122" i="13"/>
  <c r="BD346" i="12"/>
  <c r="I49" i="1"/>
  <c r="AT195" i="13"/>
  <c r="BE193" i="13"/>
  <c r="I44" i="1"/>
  <c r="AT181" i="13"/>
  <c r="BE179" i="13"/>
  <c r="I39" i="1"/>
  <c r="AT167" i="13"/>
  <c r="BE165" i="13"/>
  <c r="J29" i="1"/>
  <c r="K29" i="1" s="1"/>
  <c r="L29" i="1" s="1"/>
  <c r="M29" i="1" s="1"/>
  <c r="BE139" i="13"/>
  <c r="I34" i="1"/>
  <c r="AT153" i="13"/>
  <c r="BE151" i="13"/>
  <c r="BD220" i="12"/>
  <c r="AE24" i="5"/>
  <c r="AP24" i="5" s="1"/>
  <c r="AN24" i="5"/>
  <c r="AJ191" i="12"/>
  <c r="AG196" i="12"/>
  <c r="X196" i="12" s="1"/>
  <c r="AS388" i="13"/>
  <c r="AE15" i="5"/>
  <c r="AP15" i="5" s="1"/>
  <c r="AN15" i="5"/>
  <c r="AS279" i="12"/>
  <c r="AU282" i="12" s="1"/>
  <c r="AU279" i="12" s="1"/>
  <c r="AW279" i="12" s="1"/>
  <c r="AL279" i="12"/>
  <c r="AS281" i="12"/>
  <c r="AU284" i="12" s="1"/>
  <c r="AU281" i="12" s="1"/>
  <c r="AW281" i="12" s="1"/>
  <c r="AL281" i="12"/>
  <c r="AE23" i="5"/>
  <c r="AP23" i="5" s="1"/>
  <c r="AN23" i="5"/>
  <c r="AV208" i="12"/>
  <c r="AW208" i="12" s="1"/>
  <c r="Y446" i="13"/>
  <c r="Y442" i="13" s="1"/>
  <c r="AA442" i="13" s="1"/>
  <c r="AH441" i="13"/>
  <c r="AH443" i="13"/>
  <c r="AS440" i="13"/>
  <c r="AV425" i="13"/>
  <c r="AW425" i="13" s="1"/>
  <c r="AV423" i="13"/>
  <c r="AV426" i="13"/>
  <c r="AW426" i="13" s="1"/>
  <c r="AV424" i="13"/>
  <c r="AW424" i="13" s="1"/>
  <c r="AH389" i="13"/>
  <c r="AJ393" i="13" s="1"/>
  <c r="AJ389" i="13" s="1"/>
  <c r="AL389" i="13" s="1"/>
  <c r="Y394" i="13"/>
  <c r="Y390" i="13" s="1"/>
  <c r="AA390" i="13" s="1"/>
  <c r="AU392" i="13"/>
  <c r="AU388" i="13" s="1"/>
  <c r="AW388" i="13" s="1"/>
  <c r="AH391" i="13"/>
  <c r="J339" i="13"/>
  <c r="K339" i="13" s="1"/>
  <c r="K338" i="13"/>
  <c r="AK320" i="13"/>
  <c r="AL320" i="13" s="1"/>
  <c r="AK321" i="13"/>
  <c r="AL321" i="13" s="1"/>
  <c r="AK322" i="13"/>
  <c r="AL322" i="13" s="1"/>
  <c r="AK319" i="13"/>
  <c r="W336" i="13"/>
  <c r="M341" i="13"/>
  <c r="M337" i="13" s="1"/>
  <c r="O337" i="13" s="1"/>
  <c r="M290" i="13"/>
  <c r="M286" i="13" s="1"/>
  <c r="O286" i="13" s="1"/>
  <c r="M291" i="13"/>
  <c r="M287" i="13" s="1"/>
  <c r="O287" i="13" s="1"/>
  <c r="Y288" i="13"/>
  <c r="Y284" i="13" s="1"/>
  <c r="AA284" i="13" s="1"/>
  <c r="W285" i="13"/>
  <c r="AK269" i="13"/>
  <c r="AL269" i="13" s="1"/>
  <c r="AK267" i="13"/>
  <c r="AL267" i="13" s="1"/>
  <c r="AK268" i="13"/>
  <c r="AL268" i="13" s="1"/>
  <c r="AK270" i="13"/>
  <c r="AL270" i="13" s="1"/>
  <c r="AU191" i="12"/>
  <c r="BB242" i="13"/>
  <c r="BC242" i="13" s="1"/>
  <c r="BD242" i="13" s="1"/>
  <c r="BG249" i="13" s="1"/>
  <c r="BH249" i="13" s="1"/>
  <c r="BB208" i="13"/>
  <c r="BB225" i="13" s="1"/>
  <c r="BE135" i="13"/>
  <c r="AJ225" i="13"/>
  <c r="AA239" i="12"/>
  <c r="AJ283" i="12"/>
  <c r="AA280" i="12"/>
  <c r="AJ238" i="12"/>
  <c r="AS238" i="12" s="1"/>
  <c r="AU241" i="12" s="1"/>
  <c r="AA323" i="12"/>
  <c r="Y322" i="12"/>
  <c r="AH322" i="12" s="1"/>
  <c r="AJ325" i="12" s="1"/>
  <c r="M200" i="12"/>
  <c r="M197" i="12" s="1"/>
  <c r="O197" i="12" s="1"/>
  <c r="AJ367" i="12"/>
  <c r="AJ364" i="12" s="1"/>
  <c r="AJ366" i="12"/>
  <c r="AJ324" i="12"/>
  <c r="AJ365" i="12"/>
  <c r="AL365" i="12" s="1"/>
  <c r="AJ326" i="12"/>
  <c r="AJ323" i="12" s="1"/>
  <c r="AL323" i="12" s="1"/>
  <c r="M199" i="12"/>
  <c r="M196" i="12" s="1"/>
  <c r="O196" i="12" s="1"/>
  <c r="AH365" i="12"/>
  <c r="AJ242" i="12"/>
  <c r="AS237" i="12"/>
  <c r="AU240" i="12" s="1"/>
  <c r="Q32" i="7"/>
  <c r="BD98" i="12"/>
  <c r="Q54" i="7"/>
  <c r="R20" i="5" s="1"/>
  <c r="BD154" i="12"/>
  <c r="Q55" i="7" s="1"/>
  <c r="S20" i="5" s="1"/>
  <c r="BD142" i="12"/>
  <c r="Q50" i="7" s="1"/>
  <c r="S19" i="5" s="1"/>
  <c r="Q49" i="7"/>
  <c r="R19" i="5" s="1"/>
  <c r="I16" i="15" s="1"/>
  <c r="AV178" i="12"/>
  <c r="AU202" i="12"/>
  <c r="AT202" i="12"/>
  <c r="BD200" i="12" s="1"/>
  <c r="BD205" i="12" s="1"/>
  <c r="AJ185" i="12"/>
  <c r="AK183" i="12" s="1"/>
  <c r="AL183" i="12" s="1"/>
  <c r="AW178" i="12"/>
  <c r="AV191" i="12" s="1"/>
  <c r="BD166" i="12"/>
  <c r="Q60" i="7" s="1"/>
  <c r="S21" i="5" s="1"/>
  <c r="Q59" i="7"/>
  <c r="R21" i="5" s="1"/>
  <c r="AS127" i="12"/>
  <c r="AT127" i="12" s="1"/>
  <c r="AG197" i="12"/>
  <c r="AN193" i="12"/>
  <c r="AS193" i="12" s="1"/>
  <c r="AV186" i="12"/>
  <c r="AW186" i="12" s="1"/>
  <c r="AR196" i="12"/>
  <c r="AI196" i="12" s="1"/>
  <c r="BD118" i="12"/>
  <c r="Q39" i="7"/>
  <c r="R17" i="5" s="1"/>
  <c r="I14" i="15" s="1"/>
  <c r="AC146" i="2"/>
  <c r="AD146" i="2" s="1"/>
  <c r="AE146" i="2" s="1"/>
  <c r="AE155" i="2" s="1"/>
  <c r="N155" i="2"/>
  <c r="Z146" i="2"/>
  <c r="AA146" i="2"/>
  <c r="X155" i="2" s="1"/>
  <c r="AB155" i="2" s="1"/>
  <c r="I59" i="7"/>
  <c r="G21" i="5" s="1"/>
  <c r="F18" i="15" s="1"/>
  <c r="AR136" i="2"/>
  <c r="I54" i="7"/>
  <c r="G20" i="5" s="1"/>
  <c r="F17" i="15" s="1"/>
  <c r="AR126" i="2"/>
  <c r="I44" i="7"/>
  <c r="G18" i="5" s="1"/>
  <c r="F15" i="15" s="1"/>
  <c r="AR106" i="2"/>
  <c r="I50" i="7"/>
  <c r="H19" i="5" s="1"/>
  <c r="AS115" i="2"/>
  <c r="AS116" i="2" s="1"/>
  <c r="AR80" i="2"/>
  <c r="BF376" i="13" l="1"/>
  <c r="BG371" i="13" s="1"/>
  <c r="BH371" i="13" s="1"/>
  <c r="J24" i="1"/>
  <c r="K24" i="1" s="1"/>
  <c r="L24" i="1" s="1"/>
  <c r="M24" i="1" s="1"/>
  <c r="BG113" i="13"/>
  <c r="BN105" i="13" s="1"/>
  <c r="Y32" i="7" s="1"/>
  <c r="BF124" i="13"/>
  <c r="BN115" i="13" s="1"/>
  <c r="BD204" i="12"/>
  <c r="J49" i="1"/>
  <c r="K49" i="1" s="1"/>
  <c r="L49" i="1" s="1"/>
  <c r="M49" i="1" s="1"/>
  <c r="BE195" i="13"/>
  <c r="BN187" i="13" s="1"/>
  <c r="J44" i="1"/>
  <c r="K44" i="1" s="1"/>
  <c r="L44" i="1" s="1"/>
  <c r="M44" i="1" s="1"/>
  <c r="BE181" i="13"/>
  <c r="BN173" i="13" s="1"/>
  <c r="J39" i="1"/>
  <c r="K39" i="1" s="1"/>
  <c r="L39" i="1" s="1"/>
  <c r="M39" i="1" s="1"/>
  <c r="BE167" i="13"/>
  <c r="BN159" i="13" s="1"/>
  <c r="BN131" i="13"/>
  <c r="Y39" i="7" s="1"/>
  <c r="AC17" i="5" s="1"/>
  <c r="L14" i="15" s="1"/>
  <c r="J34" i="1"/>
  <c r="K34" i="1" s="1"/>
  <c r="L34" i="1" s="1"/>
  <c r="M34" i="1" s="1"/>
  <c r="BE153" i="13"/>
  <c r="BN145" i="13" s="1"/>
  <c r="T20" i="5"/>
  <c r="I17" i="15"/>
  <c r="T21" i="5"/>
  <c r="I18" i="15"/>
  <c r="BD388" i="13"/>
  <c r="BF392" i="13" s="1"/>
  <c r="BF388" i="13" s="1"/>
  <c r="BH388" i="13" s="1"/>
  <c r="AH390" i="13"/>
  <c r="AJ394" i="13" s="1"/>
  <c r="AJ390" i="13" s="1"/>
  <c r="AL390" i="13" s="1"/>
  <c r="I19" i="5"/>
  <c r="BD123" i="12"/>
  <c r="Q44" i="7" s="1"/>
  <c r="R18" i="5" s="1"/>
  <c r="I15" i="15" s="1"/>
  <c r="T19" i="5"/>
  <c r="AH442" i="13"/>
  <c r="AJ445" i="13"/>
  <c r="AJ441" i="13" s="1"/>
  <c r="AL441" i="13" s="1"/>
  <c r="AU444" i="13"/>
  <c r="AU440" i="13" s="1"/>
  <c r="AW440" i="13" s="1"/>
  <c r="AJ447" i="13"/>
  <c r="AJ443" i="13" s="1"/>
  <c r="AL443" i="13" s="1"/>
  <c r="AW423" i="13"/>
  <c r="BF428" i="13"/>
  <c r="AS389" i="13"/>
  <c r="AU393" i="13" s="1"/>
  <c r="AU389" i="13" s="1"/>
  <c r="AW389" i="13" s="1"/>
  <c r="AJ395" i="13"/>
  <c r="AJ391" i="13" s="1"/>
  <c r="AL391" i="13" s="1"/>
  <c r="M342" i="13"/>
  <c r="M338" i="13" s="1"/>
  <c r="O338" i="13" s="1"/>
  <c r="M343" i="13"/>
  <c r="M339" i="13" s="1"/>
  <c r="O339" i="13" s="1"/>
  <c r="Y340" i="13"/>
  <c r="Y336" i="13" s="1"/>
  <c r="AA336" i="13" s="1"/>
  <c r="AL319" i="13"/>
  <c r="AU324" i="13"/>
  <c r="W337" i="13"/>
  <c r="W286" i="13"/>
  <c r="Y290" i="13" s="1"/>
  <c r="Y286" i="13" s="1"/>
  <c r="AH284" i="13"/>
  <c r="AJ288" i="13" s="1"/>
  <c r="AJ284" i="13" s="1"/>
  <c r="AL284" i="13" s="1"/>
  <c r="Y289" i="13"/>
  <c r="Y285" i="13" s="1"/>
  <c r="AA285" i="13" s="1"/>
  <c r="W287" i="13"/>
  <c r="AU272" i="13"/>
  <c r="BE242" i="13"/>
  <c r="BD208" i="13"/>
  <c r="BE208" i="13" s="1"/>
  <c r="BH208" i="13" s="1"/>
  <c r="BG225" i="13" s="1"/>
  <c r="AR225" i="13"/>
  <c r="AS225" i="13" s="1"/>
  <c r="AT225" i="13" s="1"/>
  <c r="AY225" i="13" s="1"/>
  <c r="BD225" i="13" s="1"/>
  <c r="BF208" i="13"/>
  <c r="BF242" i="13"/>
  <c r="AS365" i="12"/>
  <c r="AU368" i="12" s="1"/>
  <c r="AU365" i="12" s="1"/>
  <c r="AW365" i="12" s="1"/>
  <c r="W196" i="12"/>
  <c r="Y199" i="12" s="1"/>
  <c r="Y196" i="12" s="1"/>
  <c r="AA196" i="12" s="1"/>
  <c r="AJ322" i="12"/>
  <c r="AL322" i="12" s="1"/>
  <c r="AU238" i="12"/>
  <c r="AW238" i="12" s="1"/>
  <c r="AL364" i="12"/>
  <c r="AS364" i="12"/>
  <c r="AU367" i="12" s="1"/>
  <c r="AA322" i="12"/>
  <c r="AL238" i="12"/>
  <c r="AJ280" i="12"/>
  <c r="X197" i="12"/>
  <c r="AJ239" i="12"/>
  <c r="AS239" i="12" s="1"/>
  <c r="AU242" i="12" s="1"/>
  <c r="AS323" i="12"/>
  <c r="AU326" i="12" s="1"/>
  <c r="AJ321" i="12"/>
  <c r="AS321" i="12" s="1"/>
  <c r="AU324" i="12" s="1"/>
  <c r="AJ363" i="12"/>
  <c r="AS363" i="12" s="1"/>
  <c r="AU366" i="12" s="1"/>
  <c r="AU237" i="12"/>
  <c r="AW237" i="12" s="1"/>
  <c r="W197" i="12"/>
  <c r="BE139" i="12"/>
  <c r="BE142" i="12" s="1"/>
  <c r="Q51" i="7" s="1"/>
  <c r="U19" i="5" s="1"/>
  <c r="BD106" i="12"/>
  <c r="Q35" i="7" s="1"/>
  <c r="S16" i="5" s="1"/>
  <c r="Q34" i="7"/>
  <c r="R16" i="5" s="1"/>
  <c r="BE151" i="12"/>
  <c r="BE154" i="12" s="1"/>
  <c r="Q56" i="7" s="1"/>
  <c r="U20" i="5" s="1"/>
  <c r="BD202" i="12"/>
  <c r="Q65" i="7"/>
  <c r="AT193" i="12"/>
  <c r="AU193" i="12" s="1"/>
  <c r="AK184" i="12"/>
  <c r="AL184" i="12" s="1"/>
  <c r="BE163" i="12"/>
  <c r="BE166" i="12" s="1"/>
  <c r="Q61" i="7" s="1"/>
  <c r="U21" i="5" s="1"/>
  <c r="AU127" i="12"/>
  <c r="BE115" i="12"/>
  <c r="BE118" i="12" s="1"/>
  <c r="Q41" i="7" s="1"/>
  <c r="U17" i="5" s="1"/>
  <c r="Q40" i="7"/>
  <c r="S17" i="5" s="1"/>
  <c r="T17" i="5" s="1"/>
  <c r="AC164" i="2"/>
  <c r="AD164" i="2" s="1"/>
  <c r="AE164" i="2" s="1"/>
  <c r="AF164" i="2" s="1"/>
  <c r="AG164" i="2" s="1"/>
  <c r="AA152" i="2"/>
  <c r="AB146" i="2"/>
  <c r="I55" i="7"/>
  <c r="H20" i="5" s="1"/>
  <c r="I34" i="7"/>
  <c r="G16" i="5" s="1"/>
  <c r="F13" i="15" s="1"/>
  <c r="AR86" i="2"/>
  <c r="AS135" i="2"/>
  <c r="AS136" i="2" s="1"/>
  <c r="I60" i="7"/>
  <c r="H21" i="5" s="1"/>
  <c r="I51" i="7"/>
  <c r="J19" i="5" s="1"/>
  <c r="I45" i="7"/>
  <c r="H18" i="5" s="1"/>
  <c r="AE93" i="2"/>
  <c r="AF93" i="2" s="1"/>
  <c r="AS125" i="2"/>
  <c r="AS126" i="2" s="1"/>
  <c r="AS105" i="2"/>
  <c r="AS106" i="2" s="1"/>
  <c r="BG374" i="13" l="1"/>
  <c r="BH374" i="13" s="1"/>
  <c r="BG372" i="13"/>
  <c r="BH372" i="13" s="1"/>
  <c r="BG373" i="13"/>
  <c r="BH373" i="13" s="1"/>
  <c r="BN116" i="13"/>
  <c r="Y33" i="7"/>
  <c r="BN140" i="13"/>
  <c r="Y40" i="7" s="1"/>
  <c r="AD17" i="5" s="1"/>
  <c r="AE17" i="5" s="1"/>
  <c r="BN196" i="13"/>
  <c r="Y60" i="7" s="1"/>
  <c r="AD21" i="5" s="1"/>
  <c r="AO21" i="5" s="1"/>
  <c r="Y59" i="7"/>
  <c r="AC21" i="5" s="1"/>
  <c r="Y54" i="7"/>
  <c r="AC20" i="5" s="1"/>
  <c r="BN182" i="13"/>
  <c r="Y55" i="7" s="1"/>
  <c r="AD20" i="5" s="1"/>
  <c r="AO20" i="5" s="1"/>
  <c r="Y49" i="7"/>
  <c r="AC19" i="5" s="1"/>
  <c r="BN168" i="13"/>
  <c r="Y50" i="7" s="1"/>
  <c r="AD19" i="5" s="1"/>
  <c r="Y44" i="7"/>
  <c r="AC18" i="5" s="1"/>
  <c r="L15" i="15" s="1"/>
  <c r="N15" i="15" s="1"/>
  <c r="BN154" i="13"/>
  <c r="Y45" i="7" s="1"/>
  <c r="AD18" i="5" s="1"/>
  <c r="T16" i="5"/>
  <c r="I13" i="15"/>
  <c r="BD130" i="12"/>
  <c r="Q45" i="7" s="1"/>
  <c r="S18" i="5" s="1"/>
  <c r="T18" i="5" s="1"/>
  <c r="I20" i="5"/>
  <c r="AH336" i="13"/>
  <c r="AJ340" i="13" s="1"/>
  <c r="AJ336" i="13" s="1"/>
  <c r="AL336" i="13" s="1"/>
  <c r="AS391" i="13"/>
  <c r="AU395" i="13" s="1"/>
  <c r="AU391" i="13" s="1"/>
  <c r="AW391" i="13" s="1"/>
  <c r="AS280" i="12"/>
  <c r="AU283" i="12" s="1"/>
  <c r="AU280" i="12" s="1"/>
  <c r="AW280" i="12" s="1"/>
  <c r="AL280" i="12"/>
  <c r="I18" i="5"/>
  <c r="AS390" i="13"/>
  <c r="AU394" i="13" s="1"/>
  <c r="AU390" i="13" s="1"/>
  <c r="AW390" i="13" s="1"/>
  <c r="I21" i="5"/>
  <c r="BD440" i="13"/>
  <c r="BF444" i="13" s="1"/>
  <c r="BF440" i="13" s="1"/>
  <c r="BH440" i="13" s="1"/>
  <c r="AS443" i="13"/>
  <c r="AJ446" i="13"/>
  <c r="AJ442" i="13" s="1"/>
  <c r="AL442" i="13" s="1"/>
  <c r="AS441" i="13"/>
  <c r="BG425" i="13"/>
  <c r="BH425" i="13" s="1"/>
  <c r="BG426" i="13"/>
  <c r="BH426" i="13" s="1"/>
  <c r="BG423" i="13"/>
  <c r="BH423" i="13" s="1"/>
  <c r="BG424" i="13"/>
  <c r="BH424" i="13" s="1"/>
  <c r="BD389" i="13"/>
  <c r="BF393" i="13" s="1"/>
  <c r="BF389" i="13" s="1"/>
  <c r="BH389" i="13" s="1"/>
  <c r="AA286" i="13"/>
  <c r="AH286" i="13"/>
  <c r="AJ290" i="13" s="1"/>
  <c r="AJ286" i="13" s="1"/>
  <c r="AL286" i="13" s="1"/>
  <c r="AV321" i="13"/>
  <c r="AW321" i="13" s="1"/>
  <c r="AV319" i="13"/>
  <c r="AW319" i="13" s="1"/>
  <c r="AV320" i="13"/>
  <c r="AW320" i="13" s="1"/>
  <c r="AV322" i="13"/>
  <c r="AW322" i="13" s="1"/>
  <c r="W339" i="13"/>
  <c r="Y341" i="13"/>
  <c r="Y337" i="13" s="1"/>
  <c r="AA337" i="13" s="1"/>
  <c r="W338" i="13"/>
  <c r="AH285" i="13"/>
  <c r="AJ289" i="13" s="1"/>
  <c r="AJ285" i="13" s="1"/>
  <c r="AL285" i="13" s="1"/>
  <c r="AS284" i="13"/>
  <c r="Y291" i="13"/>
  <c r="Y287" i="13" s="1"/>
  <c r="AA287" i="13" s="1"/>
  <c r="AV269" i="13"/>
  <c r="AW269" i="13" s="1"/>
  <c r="AV268" i="13"/>
  <c r="AW268" i="13" s="1"/>
  <c r="AV267" i="13"/>
  <c r="AW267" i="13" s="1"/>
  <c r="AV270" i="13"/>
  <c r="AW270" i="13" s="1"/>
  <c r="BG219" i="13"/>
  <c r="BH219" i="13" s="1"/>
  <c r="BG208" i="13"/>
  <c r="AR232" i="13"/>
  <c r="AI232" i="13" s="1"/>
  <c r="BE225" i="13"/>
  <c r="BF225" i="13" s="1"/>
  <c r="AU225" i="13"/>
  <c r="Y200" i="12"/>
  <c r="Y197" i="12" s="1"/>
  <c r="AH197" i="12" s="1"/>
  <c r="AH196" i="12"/>
  <c r="AJ199" i="12" s="1"/>
  <c r="AJ196" i="12" s="1"/>
  <c r="AL196" i="12" s="1"/>
  <c r="AU323" i="12"/>
  <c r="AW323" i="12" s="1"/>
  <c r="AL363" i="12"/>
  <c r="AU321" i="12"/>
  <c r="AW321" i="12" s="1"/>
  <c r="AL239" i="12"/>
  <c r="AU364" i="12"/>
  <c r="AW364" i="12" s="1"/>
  <c r="AU363" i="12"/>
  <c r="AW363" i="12" s="1"/>
  <c r="AU239" i="12"/>
  <c r="AW239" i="12" s="1"/>
  <c r="AL321" i="12"/>
  <c r="AS322" i="12"/>
  <c r="AU325" i="12" s="1"/>
  <c r="BE105" i="12"/>
  <c r="BE106" i="12" s="1"/>
  <c r="Q36" i="7" s="1"/>
  <c r="U16" i="5" s="1"/>
  <c r="AR197" i="12"/>
  <c r="AI197" i="12" s="1"/>
  <c r="AF146" i="2"/>
  <c r="AH164" i="2"/>
  <c r="AI164" i="2" s="1"/>
  <c r="AR162" i="2" s="1"/>
  <c r="AR167" i="2" s="1"/>
  <c r="AG93" i="2"/>
  <c r="I61" i="7"/>
  <c r="J21" i="5" s="1"/>
  <c r="I56" i="7"/>
  <c r="J20" i="5" s="1"/>
  <c r="I46" i="7"/>
  <c r="J18" i="5" s="1"/>
  <c r="AS85" i="2"/>
  <c r="AS86" i="2" s="1"/>
  <c r="I35" i="7"/>
  <c r="H16" i="5" s="1"/>
  <c r="BN365" i="13" l="1"/>
  <c r="BO177" i="13"/>
  <c r="BO182" i="13" s="1"/>
  <c r="Y56" i="7" s="1"/>
  <c r="AF20" i="5" s="1"/>
  <c r="AQ20" i="5" s="1"/>
  <c r="BO135" i="13"/>
  <c r="BO140" i="13" s="1"/>
  <c r="Y41" i="7" s="1"/>
  <c r="AF17" i="5" s="1"/>
  <c r="BD232" i="12"/>
  <c r="BD254" i="12" s="1"/>
  <c r="BE254" i="12" s="1"/>
  <c r="Q79" i="7" s="1"/>
  <c r="U23" i="5" s="1"/>
  <c r="AE18" i="5"/>
  <c r="AP18" i="5" s="1"/>
  <c r="Y34" i="7"/>
  <c r="AC16" i="5" s="1"/>
  <c r="BN126" i="13"/>
  <c r="Y35" i="7" s="1"/>
  <c r="AD16" i="5" s="1"/>
  <c r="AO16" i="5" s="1"/>
  <c r="BD274" i="12"/>
  <c r="BD296" i="12" s="1"/>
  <c r="BO149" i="13"/>
  <c r="BO154" i="13" s="1"/>
  <c r="Y46" i="7" s="1"/>
  <c r="AF18" i="5" s="1"/>
  <c r="BO191" i="13"/>
  <c r="BO196" i="13" s="1"/>
  <c r="Y61" i="7" s="1"/>
  <c r="AF21" i="5" s="1"/>
  <c r="AQ21" i="5" s="1"/>
  <c r="AE21" i="5"/>
  <c r="AP21" i="5" s="1"/>
  <c r="L18" i="15"/>
  <c r="N18" i="15" s="1"/>
  <c r="AN21" i="5"/>
  <c r="L17" i="15"/>
  <c r="N17" i="15" s="1"/>
  <c r="AE20" i="5"/>
  <c r="AP20" i="5" s="1"/>
  <c r="AN20" i="5"/>
  <c r="BO163" i="13"/>
  <c r="BO168" i="13" s="1"/>
  <c r="Y51" i="7" s="1"/>
  <c r="AF19" i="5" s="1"/>
  <c r="AQ19" i="5" s="1"/>
  <c r="AE19" i="5"/>
  <c r="AP19" i="5" s="1"/>
  <c r="AO19" i="5"/>
  <c r="L16" i="15"/>
  <c r="N16" i="15" s="1"/>
  <c r="AN19" i="5"/>
  <c r="AN18" i="5"/>
  <c r="BN417" i="13"/>
  <c r="BD358" i="12"/>
  <c r="BD382" i="12" s="1"/>
  <c r="AS442" i="13"/>
  <c r="AU446" i="13" s="1"/>
  <c r="AU442" i="13" s="1"/>
  <c r="AW442" i="13" s="1"/>
  <c r="BE127" i="12"/>
  <c r="BE130" i="12" s="1"/>
  <c r="Q46" i="7" s="1"/>
  <c r="U18" i="5" s="1"/>
  <c r="BD391" i="13"/>
  <c r="BF395" i="13" s="1"/>
  <c r="BF391" i="13" s="1"/>
  <c r="BH391" i="13" s="1"/>
  <c r="AO18" i="5"/>
  <c r="AH287" i="13"/>
  <c r="AJ291" i="13" s="1"/>
  <c r="AJ287" i="13" s="1"/>
  <c r="AL287" i="13" s="1"/>
  <c r="I16" i="5"/>
  <c r="T155" i="2"/>
  <c r="U155" i="2" s="1"/>
  <c r="V155" i="2" s="1"/>
  <c r="W155" i="2" s="1"/>
  <c r="AF155" i="2"/>
  <c r="AU447" i="13"/>
  <c r="AU443" i="13" s="1"/>
  <c r="AW443" i="13" s="1"/>
  <c r="AU445" i="13"/>
  <c r="AU441" i="13" s="1"/>
  <c r="AW441" i="13" s="1"/>
  <c r="BD390" i="13"/>
  <c r="BF394" i="13" s="1"/>
  <c r="BF390" i="13" s="1"/>
  <c r="BH390" i="13" s="1"/>
  <c r="Y342" i="13"/>
  <c r="Y338" i="13" s="1"/>
  <c r="AA338" i="13" s="1"/>
  <c r="AS336" i="13"/>
  <c r="AH337" i="13"/>
  <c r="AJ341" i="13" s="1"/>
  <c r="AJ337" i="13" s="1"/>
  <c r="BF324" i="13"/>
  <c r="Y343" i="13"/>
  <c r="Y339" i="13" s="1"/>
  <c r="AA339" i="13" s="1"/>
  <c r="AS286" i="13"/>
  <c r="AU290" i="13" s="1"/>
  <c r="AU286" i="13" s="1"/>
  <c r="AW286" i="13" s="1"/>
  <c r="AS285" i="13"/>
  <c r="AU288" i="13"/>
  <c r="AU284" i="13" s="1"/>
  <c r="AW284" i="13" s="1"/>
  <c r="BF272" i="13"/>
  <c r="BC232" i="13"/>
  <c r="AT232" i="13" s="1"/>
  <c r="AJ200" i="12"/>
  <c r="AJ197" i="12" s="1"/>
  <c r="AS196" i="12"/>
  <c r="AU199" i="12" s="1"/>
  <c r="AU196" i="12" s="1"/>
  <c r="AW196" i="12" s="1"/>
  <c r="AU322" i="12"/>
  <c r="AW322" i="12" s="1"/>
  <c r="AA197" i="12"/>
  <c r="AK168" i="2"/>
  <c r="AL168" i="2" s="1"/>
  <c r="AR166" i="2" s="1"/>
  <c r="AJ164" i="2"/>
  <c r="AJ146" i="2"/>
  <c r="AH146" i="2"/>
  <c r="AI146" i="2" s="1"/>
  <c r="AR164" i="2"/>
  <c r="I65" i="7"/>
  <c r="I36" i="7"/>
  <c r="J16" i="5" s="1"/>
  <c r="AH93" i="2"/>
  <c r="AI93" i="2" s="1"/>
  <c r="AE16" i="5" l="1"/>
  <c r="AP16" i="5" s="1"/>
  <c r="L13" i="15"/>
  <c r="N13" i="15" s="1"/>
  <c r="AN16" i="5"/>
  <c r="BO125" i="13"/>
  <c r="BO126" i="13" s="1"/>
  <c r="Y36" i="7" s="1"/>
  <c r="AF16" i="5" s="1"/>
  <c r="AQ16" i="5" s="1"/>
  <c r="AQ18" i="5"/>
  <c r="BD316" i="12"/>
  <c r="BD338" i="12" s="1"/>
  <c r="BN381" i="13"/>
  <c r="BN409" i="13" s="1"/>
  <c r="BD442" i="13"/>
  <c r="BF446" i="13" s="1"/>
  <c r="BF442" i="13" s="1"/>
  <c r="BH442" i="13" s="1"/>
  <c r="BD441" i="13"/>
  <c r="BF445" i="13" s="1"/>
  <c r="BF441" i="13" s="1"/>
  <c r="BH441" i="13" s="1"/>
  <c r="BD443" i="13"/>
  <c r="BF447" i="13" s="1"/>
  <c r="BF443" i="13" s="1"/>
  <c r="BH443" i="13" s="1"/>
  <c r="BG322" i="13"/>
  <c r="BH322" i="13" s="1"/>
  <c r="BG320" i="13"/>
  <c r="BH320" i="13" s="1"/>
  <c r="BG321" i="13"/>
  <c r="BH321" i="13" s="1"/>
  <c r="BG319" i="13"/>
  <c r="BH319" i="13" s="1"/>
  <c r="AH338" i="13"/>
  <c r="AU340" i="13"/>
  <c r="AU336" i="13" s="1"/>
  <c r="AW336" i="13" s="1"/>
  <c r="AH339" i="13"/>
  <c r="AS337" i="13"/>
  <c r="AL337" i="13"/>
  <c r="BD284" i="13"/>
  <c r="BF288" i="13" s="1"/>
  <c r="BF284" i="13" s="1"/>
  <c r="BH284" i="13" s="1"/>
  <c r="BD286" i="13"/>
  <c r="BF290" i="13" s="1"/>
  <c r="BF286" i="13" s="1"/>
  <c r="BH286" i="13" s="1"/>
  <c r="AU289" i="13"/>
  <c r="AU285" i="13" s="1"/>
  <c r="AW285" i="13" s="1"/>
  <c r="AS287" i="13"/>
  <c r="BG268" i="13"/>
  <c r="BH268" i="13" s="1"/>
  <c r="BG267" i="13"/>
  <c r="BH267" i="13" s="1"/>
  <c r="BG269" i="13"/>
  <c r="BH269" i="13" s="1"/>
  <c r="AS197" i="12"/>
  <c r="AU200" i="12" s="1"/>
  <c r="AU197" i="12" s="1"/>
  <c r="AW197" i="12" s="1"/>
  <c r="Q78" i="7"/>
  <c r="Q86" i="7"/>
  <c r="BE296" i="12"/>
  <c r="Q87" i="7" s="1"/>
  <c r="U24" i="5" s="1"/>
  <c r="BE382" i="12"/>
  <c r="Q103" i="7" s="1"/>
  <c r="U26" i="5" s="1"/>
  <c r="Q102" i="7"/>
  <c r="AK152" i="2"/>
  <c r="AO150" i="2" s="1"/>
  <c r="AO151" i="2" s="1"/>
  <c r="AK146" i="2"/>
  <c r="AR144" i="2" s="1"/>
  <c r="AR149" i="2" s="1"/>
  <c r="AL146" i="2"/>
  <c r="AK155" i="2" s="1"/>
  <c r="AL185" i="12"/>
  <c r="AK182" i="12" s="1"/>
  <c r="AL182" i="12" s="1"/>
  <c r="AL176" i="12"/>
  <c r="V189" i="12"/>
  <c r="V195" i="12" s="1"/>
  <c r="L195" i="12" s="1"/>
  <c r="M198" i="12" s="1"/>
  <c r="M195" i="12" s="1"/>
  <c r="V159" i="2"/>
  <c r="L159" i="2" s="1"/>
  <c r="AC155" i="2"/>
  <c r="Q94" i="7" l="1"/>
  <c r="BE338" i="12"/>
  <c r="Q95" i="7" s="1"/>
  <c r="U25" i="5" s="1"/>
  <c r="Y94" i="7"/>
  <c r="BO409" i="13"/>
  <c r="Y95" i="7" s="1"/>
  <c r="AF25" i="5" s="1"/>
  <c r="BN433" i="13"/>
  <c r="BN463" i="13" s="1"/>
  <c r="Y102" i="7" s="1"/>
  <c r="BN313" i="13"/>
  <c r="BN261" i="13"/>
  <c r="AJ343" i="13"/>
  <c r="AJ339" i="13" s="1"/>
  <c r="AL339" i="13" s="1"/>
  <c r="BD336" i="13"/>
  <c r="BF340" i="13" s="1"/>
  <c r="BF336" i="13" s="1"/>
  <c r="BH336" i="13" s="1"/>
  <c r="AU341" i="13"/>
  <c r="AU337" i="13" s="1"/>
  <c r="AW337" i="13" s="1"/>
  <c r="AJ342" i="13"/>
  <c r="AJ338" i="13" s="1"/>
  <c r="AL338" i="13" s="1"/>
  <c r="BD285" i="13"/>
  <c r="BF289" i="13" s="1"/>
  <c r="BF285" i="13" s="1"/>
  <c r="BH285" i="13" s="1"/>
  <c r="AU291" i="13"/>
  <c r="AU287" i="13" s="1"/>
  <c r="AW287" i="13" s="1"/>
  <c r="O195" i="12"/>
  <c r="W195" i="12"/>
  <c r="J159" i="2"/>
  <c r="Y152" i="2"/>
  <c r="Z150" i="2" s="1"/>
  <c r="AA150" i="2" s="1"/>
  <c r="AL152" i="2"/>
  <c r="AM176" i="12"/>
  <c r="AQ176" i="12" s="1"/>
  <c r="AK189" i="12"/>
  <c r="AM189" i="12" s="1"/>
  <c r="AC189" i="12"/>
  <c r="W189" i="12"/>
  <c r="AU185" i="12"/>
  <c r="AR146" i="2"/>
  <c r="I66" i="7"/>
  <c r="AI95" i="2"/>
  <c r="AR91" i="2" s="1"/>
  <c r="AQ25" i="5" l="1"/>
  <c r="BO463" i="13"/>
  <c r="Y103" i="7" s="1"/>
  <c r="AF26" i="5" s="1"/>
  <c r="AQ26" i="5" s="1"/>
  <c r="AQ189" i="12"/>
  <c r="AU176" i="12"/>
  <c r="AS338" i="13"/>
  <c r="AU342" i="13" s="1"/>
  <c r="AU338" i="13" s="1"/>
  <c r="AW338" i="13" s="1"/>
  <c r="BD337" i="13"/>
  <c r="BF341" i="13" s="1"/>
  <c r="BF337" i="13" s="1"/>
  <c r="BH337" i="13" s="1"/>
  <c r="AS339" i="13"/>
  <c r="BD287" i="13"/>
  <c r="BF291" i="13" s="1"/>
  <c r="BF287" i="13" s="1"/>
  <c r="Z151" i="2"/>
  <c r="AA151" i="2" s="1"/>
  <c r="J160" i="2"/>
  <c r="K160" i="2" s="1"/>
  <c r="K159" i="2"/>
  <c r="AV184" i="12"/>
  <c r="AW184" i="12" s="1"/>
  <c r="AV183" i="12"/>
  <c r="AW183" i="12" s="1"/>
  <c r="I39" i="7"/>
  <c r="G17" i="5" s="1"/>
  <c r="F14" i="15" s="1"/>
  <c r="N14" i="15" s="1"/>
  <c r="AR96" i="2"/>
  <c r="AN17" i="5" l="1"/>
  <c r="BH287" i="13"/>
  <c r="BN277" i="13" s="1"/>
  <c r="BN305" i="13" s="1"/>
  <c r="AU343" i="13"/>
  <c r="AU339" i="13" s="1"/>
  <c r="AW339" i="13" s="1"/>
  <c r="BD338" i="13"/>
  <c r="BF342" i="13" s="1"/>
  <c r="BF338" i="13" s="1"/>
  <c r="BH338" i="13" s="1"/>
  <c r="AS176" i="12"/>
  <c r="AT176" i="12" s="1"/>
  <c r="AW176" i="12" s="1"/>
  <c r="AV189" i="12" s="1"/>
  <c r="AG189" i="12"/>
  <c r="AH189" i="12" s="1"/>
  <c r="AS206" i="13"/>
  <c r="AT206" i="13" s="1"/>
  <c r="AV218" i="13" s="1"/>
  <c r="AJ152" i="2"/>
  <c r="AK150" i="2" s="1"/>
  <c r="AL150" i="2" s="1"/>
  <c r="M161" i="2"/>
  <c r="M159" i="2" s="1"/>
  <c r="O159" i="2" s="1"/>
  <c r="M162" i="2"/>
  <c r="M160" i="2" s="1"/>
  <c r="O160" i="2" s="1"/>
  <c r="Y78" i="7" l="1"/>
  <c r="BO305" i="13"/>
  <c r="Y79" i="7" s="1"/>
  <c r="AF23" i="5" s="1"/>
  <c r="AQ23" i="5" s="1"/>
  <c r="BD339" i="13"/>
  <c r="BF343" i="13" s="1"/>
  <c r="BF339" i="13" s="1"/>
  <c r="BH339" i="13" s="1"/>
  <c r="AI189" i="12"/>
  <c r="AJ189" i="12" s="1"/>
  <c r="AV185" i="12"/>
  <c r="AW185" i="12" s="1"/>
  <c r="AV182" i="12" s="1"/>
  <c r="AW182" i="12" s="1"/>
  <c r="AV176" i="12"/>
  <c r="BD174" i="12" s="1"/>
  <c r="AW218" i="13"/>
  <c r="AV206" i="13"/>
  <c r="AY206" i="13"/>
  <c r="AW206" i="13"/>
  <c r="AK151" i="2"/>
  <c r="AL151" i="2" s="1"/>
  <c r="AR148" i="2" s="1"/>
  <c r="W159" i="2"/>
  <c r="W160" i="2"/>
  <c r="I40" i="7"/>
  <c r="H17" i="5" s="1"/>
  <c r="AS95" i="2"/>
  <c r="AS96" i="2" s="1"/>
  <c r="BN329" i="13" l="1"/>
  <c r="BN357" i="13" s="1"/>
  <c r="Q66" i="7"/>
  <c r="BD181" i="12"/>
  <c r="BD178" i="12" s="1"/>
  <c r="AG195" i="12"/>
  <c r="X195" i="12" s="1"/>
  <c r="Y198" i="12" s="1"/>
  <c r="AO17" i="5"/>
  <c r="I17" i="5"/>
  <c r="AP17" i="5" s="1"/>
  <c r="BD176" i="12"/>
  <c r="AN189" i="12"/>
  <c r="AS189" i="12" s="1"/>
  <c r="AZ206" i="13"/>
  <c r="BA206" i="13" s="1"/>
  <c r="BA223" i="13" s="1"/>
  <c r="AY240" i="13"/>
  <c r="AZ240" i="13" s="1"/>
  <c r="BA240" i="13" s="1"/>
  <c r="AX206" i="13"/>
  <c r="AV223" i="13"/>
  <c r="AX223" i="13" s="1"/>
  <c r="Y162" i="2"/>
  <c r="Y160" i="2" s="1"/>
  <c r="AA160" i="2" s="1"/>
  <c r="I41" i="7"/>
  <c r="J17" i="5" s="1"/>
  <c r="AQ17" i="5" s="1"/>
  <c r="BO357" i="13" l="1"/>
  <c r="Y87" i="7" s="1"/>
  <c r="AF24" i="5" s="1"/>
  <c r="AQ24" i="5" s="1"/>
  <c r="Y86" i="7"/>
  <c r="BB240" i="13"/>
  <c r="BC240" i="13" s="1"/>
  <c r="BD240" i="13" s="1"/>
  <c r="BF240" i="13" s="1"/>
  <c r="AT189" i="12"/>
  <c r="AU189" i="12" s="1"/>
  <c r="BD187" i="12" s="1"/>
  <c r="BD191" i="12" s="1"/>
  <c r="BB206" i="13"/>
  <c r="AR223" i="13" s="1"/>
  <c r="AS223" i="13" s="1"/>
  <c r="AH160" i="2"/>
  <c r="AJ162" i="2" s="1"/>
  <c r="AJ160" i="2" s="1"/>
  <c r="AL160" i="2" s="1"/>
  <c r="Y195" i="12"/>
  <c r="AA195" i="12" s="1"/>
  <c r="AH155" i="2"/>
  <c r="AG159" i="2" s="1"/>
  <c r="X159" i="2" s="1"/>
  <c r="Y161" i="2" s="1"/>
  <c r="Y159" i="2" s="1"/>
  <c r="AH159" i="2" s="1"/>
  <c r="AJ161" i="2" s="1"/>
  <c r="AJ159" i="2" s="1"/>
  <c r="AR195" i="12" l="1"/>
  <c r="AI195" i="12" s="1"/>
  <c r="BE240" i="13"/>
  <c r="BN238" i="13" s="1"/>
  <c r="BD206" i="13"/>
  <c r="BE206" i="13" s="1"/>
  <c r="BH206" i="13" s="1"/>
  <c r="BG223" i="13" s="1"/>
  <c r="BB223" i="13"/>
  <c r="BF206" i="13"/>
  <c r="BG248" i="13"/>
  <c r="BH248" i="13" s="1"/>
  <c r="AT223" i="13"/>
  <c r="AU223" i="13" s="1"/>
  <c r="AH195" i="12"/>
  <c r="BD210" i="12"/>
  <c r="BD188" i="12"/>
  <c r="BD211" i="12" s="1"/>
  <c r="Q69" i="7" s="1"/>
  <c r="S22" i="5" s="1"/>
  <c r="Q67" i="7"/>
  <c r="AI155" i="2"/>
  <c r="AJ155" i="2" s="1"/>
  <c r="AJ198" i="12" l="1"/>
  <c r="AJ195" i="12" s="1"/>
  <c r="Y65" i="7"/>
  <c r="BN243" i="13"/>
  <c r="BN242" i="13" s="1"/>
  <c r="BG218" i="13"/>
  <c r="BH218" i="13" s="1"/>
  <c r="BN240" i="13"/>
  <c r="BG206" i="13"/>
  <c r="BN204" i="13" s="1"/>
  <c r="BN213" i="13" s="1"/>
  <c r="AY223" i="13"/>
  <c r="BD223" i="13" s="1"/>
  <c r="BK214" i="13"/>
  <c r="BK215" i="13" s="1"/>
  <c r="J231" i="13" s="1"/>
  <c r="AR231" i="13"/>
  <c r="Q68" i="7"/>
  <c r="R22" i="5" s="1"/>
  <c r="I20" i="15" s="1"/>
  <c r="AY210" i="12"/>
  <c r="BE209" i="12"/>
  <c r="AA159" i="2"/>
  <c r="AR153" i="2"/>
  <c r="AR157" i="2" s="1"/>
  <c r="AS195" i="12" l="1"/>
  <c r="AU198" i="12" s="1"/>
  <c r="AU195" i="12" s="1"/>
  <c r="AW195" i="12" s="1"/>
  <c r="AL197" i="12" s="1"/>
  <c r="AL195" i="12"/>
  <c r="T22" i="5"/>
  <c r="BE223" i="13"/>
  <c r="BC231" i="13" s="1"/>
  <c r="AT231" i="13" s="1"/>
  <c r="Y66" i="7"/>
  <c r="BN206" i="13"/>
  <c r="Y218" i="13"/>
  <c r="Z217" i="13" s="1"/>
  <c r="AA217" i="13" s="1"/>
  <c r="J232" i="13"/>
  <c r="K231" i="13"/>
  <c r="AI231" i="13"/>
  <c r="AR170" i="2"/>
  <c r="AM170" i="2" s="1"/>
  <c r="I67" i="7"/>
  <c r="AR154" i="2"/>
  <c r="AL159" i="2"/>
  <c r="AR156" i="2" s="1"/>
  <c r="BD190" i="12" l="1"/>
  <c r="BD212" i="12" s="1"/>
  <c r="BF223" i="13"/>
  <c r="BN221" i="13" s="1"/>
  <c r="BN225" i="13" s="1"/>
  <c r="Z214" i="13"/>
  <c r="AA214" i="13" s="1"/>
  <c r="Z215" i="13"/>
  <c r="AA215" i="13" s="1"/>
  <c r="Z216" i="13"/>
  <c r="AA216" i="13" s="1"/>
  <c r="M235" i="13"/>
  <c r="M231" i="13" s="1"/>
  <c r="O231" i="13" s="1"/>
  <c r="J233" i="13"/>
  <c r="K232" i="13"/>
  <c r="I68" i="7"/>
  <c r="G22" i="5" s="1"/>
  <c r="F20" i="15" s="1"/>
  <c r="AR171" i="2"/>
  <c r="AJ218" i="13" l="1"/>
  <c r="AK217" i="13" s="1"/>
  <c r="BN222" i="13"/>
  <c r="BN252" i="13" s="1"/>
  <c r="Y69" i="7" s="1"/>
  <c r="AD22" i="5" s="1"/>
  <c r="Y67" i="7"/>
  <c r="BN250" i="13"/>
  <c r="J234" i="13"/>
  <c r="K234" i="13" s="1"/>
  <c r="K233" i="13"/>
  <c r="W231" i="13"/>
  <c r="M236" i="13"/>
  <c r="M232" i="13" s="1"/>
  <c r="O232" i="13" s="1"/>
  <c r="F18" i="10"/>
  <c r="G18" i="10" s="1"/>
  <c r="BE212" i="12"/>
  <c r="Q71" i="7" s="1"/>
  <c r="U22" i="5" s="1"/>
  <c r="Q70" i="7"/>
  <c r="S45" i="5" s="1"/>
  <c r="AS169" i="2"/>
  <c r="AR172" i="2"/>
  <c r="F12" i="10" s="1"/>
  <c r="G12" i="10" s="1"/>
  <c r="I69" i="7"/>
  <c r="H22" i="5" s="1"/>
  <c r="S47" i="5" l="1"/>
  <c r="I45" i="15" s="1"/>
  <c r="I43" i="15"/>
  <c r="I22" i="5"/>
  <c r="AO22" i="5"/>
  <c r="AK215" i="13"/>
  <c r="AL215" i="13" s="1"/>
  <c r="AK214" i="13"/>
  <c r="AL214" i="13" s="1"/>
  <c r="AK216" i="13"/>
  <c r="AL216" i="13" s="1"/>
  <c r="BO249" i="13"/>
  <c r="BI250" i="13"/>
  <c r="Y68" i="7"/>
  <c r="AC22" i="5" s="1"/>
  <c r="M237" i="13"/>
  <c r="M233" i="13" s="1"/>
  <c r="O233" i="13" s="1"/>
  <c r="Y235" i="13"/>
  <c r="Y231" i="13" s="1"/>
  <c r="AA231" i="13" s="1"/>
  <c r="W232" i="13"/>
  <c r="M238" i="13"/>
  <c r="M234" i="13" s="1"/>
  <c r="O234" i="13" s="1"/>
  <c r="AS172" i="2"/>
  <c r="I71" i="7" s="1"/>
  <c r="J22" i="5" s="1"/>
  <c r="I70" i="7"/>
  <c r="H45" i="5" s="1"/>
  <c r="F43" i="15" s="1"/>
  <c r="AN22" i="5" l="1"/>
  <c r="L20" i="15"/>
  <c r="N20" i="15" s="1"/>
  <c r="F45" i="15"/>
  <c r="H47" i="5"/>
  <c r="AU218" i="13"/>
  <c r="AV217" i="13" s="1"/>
  <c r="AW217" i="13" s="1"/>
  <c r="AE22" i="5"/>
  <c r="AP22" i="5" s="1"/>
  <c r="W233" i="13"/>
  <c r="Y237" i="13" s="1"/>
  <c r="Y233" i="13" s="1"/>
  <c r="AA233" i="13" s="1"/>
  <c r="AH231" i="13"/>
  <c r="W234" i="13"/>
  <c r="Y236" i="13"/>
  <c r="Y232" i="13" s="1"/>
  <c r="AA232" i="13" s="1"/>
  <c r="M22" i="5"/>
  <c r="X22" i="5" s="1"/>
  <c r="AI22" i="5" s="1"/>
  <c r="N11" i="2"/>
  <c r="AV215" i="13" l="1"/>
  <c r="AW215" i="13" s="1"/>
  <c r="AV214" i="13"/>
  <c r="AW214" i="13" s="1"/>
  <c r="AV216" i="13"/>
  <c r="AW216" i="13" s="1"/>
  <c r="AJ235" i="13"/>
  <c r="AJ231" i="13" s="1"/>
  <c r="AL231" i="13" s="1"/>
  <c r="Y238" i="13"/>
  <c r="Y234" i="13" s="1"/>
  <c r="AA234" i="13" s="1"/>
  <c r="AH232" i="13"/>
  <c r="AH233" i="13"/>
  <c r="O11" i="2"/>
  <c r="P11" i="2" s="1"/>
  <c r="Q11" i="2"/>
  <c r="R11" i="2" s="1"/>
  <c r="S11" i="2" s="1"/>
  <c r="BF218" i="13" l="1"/>
  <c r="BG215" i="13" s="1"/>
  <c r="BH215" i="13" s="1"/>
  <c r="AS231" i="13"/>
  <c r="AU235" i="13" s="1"/>
  <c r="AU231" i="13" s="1"/>
  <c r="AW231" i="13" s="1"/>
  <c r="AH234" i="13"/>
  <c r="AJ237" i="13"/>
  <c r="AJ233" i="13" s="1"/>
  <c r="AL233" i="13" s="1"/>
  <c r="AJ236" i="13"/>
  <c r="AJ232" i="13" s="1"/>
  <c r="AL232" i="13" s="1"/>
  <c r="T11" i="2"/>
  <c r="U15" i="2"/>
  <c r="R18" i="2"/>
  <c r="U11" i="2"/>
  <c r="S18" i="2" s="1"/>
  <c r="O18" i="2"/>
  <c r="BG214" i="13" l="1"/>
  <c r="BH214" i="13" s="1"/>
  <c r="BG216" i="13"/>
  <c r="BH216" i="13" s="1"/>
  <c r="BG217" i="13"/>
  <c r="BH217" i="13" s="1"/>
  <c r="AS232" i="13"/>
  <c r="AU236" i="13" s="1"/>
  <c r="AU232" i="13" s="1"/>
  <c r="AW232" i="13" s="1"/>
  <c r="AS233" i="13"/>
  <c r="BD231" i="13"/>
  <c r="BF235" i="13" s="1"/>
  <c r="BF231" i="13" s="1"/>
  <c r="BH231" i="13" s="1"/>
  <c r="AJ238" i="13"/>
  <c r="AJ234" i="13" s="1"/>
  <c r="AL234" i="13" s="1"/>
  <c r="P18" i="2"/>
  <c r="AC13" i="12"/>
  <c r="AD13" i="12" s="1"/>
  <c r="J18" i="2"/>
  <c r="K18" i="2" s="1"/>
  <c r="AC13" i="2"/>
  <c r="AD13" i="2" s="1"/>
  <c r="AE13" i="2" s="1"/>
  <c r="AA13" i="2"/>
  <c r="W11" i="2"/>
  <c r="V11" i="2"/>
  <c r="BN208" i="13" l="1"/>
  <c r="BD232" i="13"/>
  <c r="BF236" i="13" s="1"/>
  <c r="BF232" i="13" s="1"/>
  <c r="BH232" i="13" s="1"/>
  <c r="AS234" i="13"/>
  <c r="AU238" i="13" s="1"/>
  <c r="AU234" i="13" s="1"/>
  <c r="AW234" i="13" s="1"/>
  <c r="AU237" i="13"/>
  <c r="AU233" i="13" s="1"/>
  <c r="AW233" i="13" s="1"/>
  <c r="AE13" i="12"/>
  <c r="AB13" i="12"/>
  <c r="X22" i="12"/>
  <c r="AB22" i="12" s="1"/>
  <c r="X20" i="2"/>
  <c r="AB20" i="2" s="1"/>
  <c r="AB13" i="2"/>
  <c r="AF13" i="2" s="1"/>
  <c r="AF20" i="2" s="1"/>
  <c r="AE20" i="2"/>
  <c r="X11" i="2"/>
  <c r="L18" i="2"/>
  <c r="Q18" i="2" s="1"/>
  <c r="BD233" i="13" l="1"/>
  <c r="BF237" i="13" s="1"/>
  <c r="BF233" i="13" s="1"/>
  <c r="BH233" i="13" s="1"/>
  <c r="BD234" i="13"/>
  <c r="BF238" i="13" s="1"/>
  <c r="BF234" i="13" s="1"/>
  <c r="BH234" i="13" s="1"/>
  <c r="T24" i="13"/>
  <c r="U24" i="13" s="1"/>
  <c r="AJ13" i="13"/>
  <c r="AH13" i="13"/>
  <c r="AI13" i="13" s="1"/>
  <c r="AE22" i="12"/>
  <c r="AF13" i="12"/>
  <c r="N18" i="2"/>
  <c r="AJ13" i="2"/>
  <c r="T20" i="2"/>
  <c r="U20" i="2" s="1"/>
  <c r="AH13" i="2"/>
  <c r="AI13" i="2" s="1"/>
  <c r="Y11" i="2"/>
  <c r="Z11" i="2" s="1"/>
  <c r="BN224" i="13" l="1"/>
  <c r="BN253" i="13" s="1"/>
  <c r="AH13" i="12"/>
  <c r="AI13" i="12" s="1"/>
  <c r="AL13" i="12" s="1"/>
  <c r="AF22" i="12"/>
  <c r="AK13" i="13"/>
  <c r="AN13" i="13"/>
  <c r="AO13" i="13" s="1"/>
  <c r="AP13" i="13" s="1"/>
  <c r="AL13" i="13"/>
  <c r="AM13" i="13" s="1"/>
  <c r="V24" i="13"/>
  <c r="AC24" i="13" s="1"/>
  <c r="AE20" i="12"/>
  <c r="X20" i="12"/>
  <c r="AB20" i="12" s="1"/>
  <c r="AJ13" i="12"/>
  <c r="AK13" i="12" s="1"/>
  <c r="T22" i="12"/>
  <c r="U22" i="12" s="1"/>
  <c r="AK13" i="2"/>
  <c r="AL13" i="2"/>
  <c r="AK20" i="2" s="1"/>
  <c r="AC11" i="2"/>
  <c r="AD11" i="2" s="1"/>
  <c r="AE11" i="2" s="1"/>
  <c r="AA11" i="2"/>
  <c r="V20" i="2"/>
  <c r="AC20" i="2" s="1"/>
  <c r="AH20" i="2" s="1"/>
  <c r="AP24" i="13" l="1"/>
  <c r="Y70" i="7"/>
  <c r="BO253" i="13"/>
  <c r="Y71" i="7" s="1"/>
  <c r="AF22" i="5" s="1"/>
  <c r="W24" i="13"/>
  <c r="AQ13" i="13"/>
  <c r="AQ24" i="13" s="1"/>
  <c r="AK24" i="13"/>
  <c r="AM24" i="13" s="1"/>
  <c r="AN13" i="12"/>
  <c r="AO13" i="12" s="1"/>
  <c r="AP13" i="12" s="1"/>
  <c r="AK22" i="12"/>
  <c r="AM13" i="12"/>
  <c r="V22" i="12"/>
  <c r="AC22" i="12" s="1"/>
  <c r="AI20" i="2"/>
  <c r="AJ20" i="2" s="1"/>
  <c r="W20" i="2"/>
  <c r="AE18" i="2"/>
  <c r="X18" i="2"/>
  <c r="AB18" i="2" s="1"/>
  <c r="AB11" i="2"/>
  <c r="AQ22" i="5" l="1"/>
  <c r="F24" i="10"/>
  <c r="G24" i="10" s="1"/>
  <c r="AD45" i="5"/>
  <c r="L43" i="15" s="1"/>
  <c r="N43" i="15" s="1"/>
  <c r="AG24" i="13"/>
  <c r="AH24" i="13" s="1"/>
  <c r="AU13" i="13"/>
  <c r="AS13" i="13"/>
  <c r="AT13" i="13" s="1"/>
  <c r="AQ13" i="12"/>
  <c r="AP22" i="12"/>
  <c r="AJ11" i="12"/>
  <c r="U20" i="12"/>
  <c r="W22" i="12"/>
  <c r="AF11" i="2"/>
  <c r="AG22" i="12" l="1"/>
  <c r="AH22" i="12" s="1"/>
  <c r="AI22" i="12" s="1"/>
  <c r="AM22" i="12" s="1"/>
  <c r="AQ22" i="12"/>
  <c r="AD47" i="5"/>
  <c r="L45" i="15" s="1"/>
  <c r="N45" i="15" s="1"/>
  <c r="AO45" i="5"/>
  <c r="AY13" i="13"/>
  <c r="AZ13" i="13" s="1"/>
  <c r="BA13" i="13" s="1"/>
  <c r="BA24" i="13" s="1"/>
  <c r="AH11" i="2"/>
  <c r="AI11" i="2" s="1"/>
  <c r="AL11" i="2" s="1"/>
  <c r="AK18" i="2" s="1"/>
  <c r="AF18" i="2"/>
  <c r="AW13" i="13"/>
  <c r="AV13" i="13"/>
  <c r="AI24" i="13"/>
  <c r="AN24" i="13" s="1"/>
  <c r="AN11" i="12"/>
  <c r="AO11" i="12" s="1"/>
  <c r="AP11" i="12" s="1"/>
  <c r="AP20" i="12" s="1"/>
  <c r="AK11" i="12"/>
  <c r="AS13" i="12"/>
  <c r="AT13" i="12" s="1"/>
  <c r="AW13" i="12" s="1"/>
  <c r="AV22" i="12" s="1"/>
  <c r="AL11" i="12"/>
  <c r="AU13" i="12"/>
  <c r="V20" i="12"/>
  <c r="W20" i="12" s="1"/>
  <c r="T18" i="2"/>
  <c r="U18" i="2" s="1"/>
  <c r="V18" i="2" s="1"/>
  <c r="AC18" i="2" s="1"/>
  <c r="AH18" i="2" s="1"/>
  <c r="AJ11" i="2"/>
  <c r="AO47" i="5" l="1"/>
  <c r="AK11" i="2"/>
  <c r="AR9" i="2" s="1"/>
  <c r="I8" i="7" s="1"/>
  <c r="AV24" i="13"/>
  <c r="AX24" i="13" s="1"/>
  <c r="AX13" i="13"/>
  <c r="AJ24" i="13"/>
  <c r="AV13" i="12"/>
  <c r="AN22" i="12"/>
  <c r="AS22" i="12" s="1"/>
  <c r="AJ22" i="12"/>
  <c r="AK20" i="12"/>
  <c r="AM11" i="12"/>
  <c r="AC20" i="12"/>
  <c r="W18" i="2"/>
  <c r="AI18" i="2"/>
  <c r="AJ18" i="2" s="1"/>
  <c r="AT22" i="12" l="1"/>
  <c r="AU22" i="12" s="1"/>
  <c r="BB13" i="13"/>
  <c r="AU11" i="13"/>
  <c r="AS11" i="13"/>
  <c r="AT11" i="13" s="1"/>
  <c r="AQ11" i="12"/>
  <c r="AQ20" i="12" s="1"/>
  <c r="AR15" i="2"/>
  <c r="AR16" i="2" s="1"/>
  <c r="BB24" i="13" l="1"/>
  <c r="AR24" i="13"/>
  <c r="AS24" i="13" s="1"/>
  <c r="BF13" i="13"/>
  <c r="AY11" i="13"/>
  <c r="AZ11" i="13" s="1"/>
  <c r="BA11" i="13" s="1"/>
  <c r="BD13" i="13"/>
  <c r="BE13" i="13" s="1"/>
  <c r="AW11" i="13"/>
  <c r="AX11" i="13" s="1"/>
  <c r="AV11" i="13"/>
  <c r="AU11" i="12"/>
  <c r="AG20" i="12"/>
  <c r="AH20" i="12" s="1"/>
  <c r="AS11" i="12"/>
  <c r="AT11" i="12" s="1"/>
  <c r="I9" i="7"/>
  <c r="I10" i="7"/>
  <c r="G12" i="5" s="1"/>
  <c r="F9" i="15" s="1"/>
  <c r="AR22" i="2"/>
  <c r="F27" i="15" l="1"/>
  <c r="AT24" i="13"/>
  <c r="AU24" i="13" s="1"/>
  <c r="H30" i="5"/>
  <c r="BG13" i="13"/>
  <c r="BH13" i="13"/>
  <c r="BG24" i="13" s="1"/>
  <c r="BB11" i="13"/>
  <c r="BA22" i="13"/>
  <c r="AV22" i="13"/>
  <c r="AX22" i="13" s="1"/>
  <c r="AV11" i="12"/>
  <c r="BD9" i="12" s="1"/>
  <c r="Q8" i="7" s="1"/>
  <c r="AW11" i="12"/>
  <c r="AV20" i="12" s="1"/>
  <c r="AI20" i="12"/>
  <c r="AM20" i="12" s="1"/>
  <c r="AS21" i="2"/>
  <c r="AS22" i="2" s="1"/>
  <c r="I11" i="7"/>
  <c r="H12" i="5" s="1"/>
  <c r="AY24" i="13" l="1"/>
  <c r="BD24" i="13" s="1"/>
  <c r="BE24" i="13" s="1"/>
  <c r="BF24" i="13" s="1"/>
  <c r="AJ20" i="12"/>
  <c r="H31" i="5"/>
  <c r="F28" i="15" s="1"/>
  <c r="I12" i="5"/>
  <c r="BD11" i="13"/>
  <c r="AR22" i="13"/>
  <c r="AS22" i="13" s="1"/>
  <c r="BB22" i="13"/>
  <c r="BF11" i="13"/>
  <c r="AN20" i="12"/>
  <c r="AS20" i="12" s="1"/>
  <c r="I12" i="7"/>
  <c r="J12" i="5" s="1"/>
  <c r="F29" i="15" l="1"/>
  <c r="AT22" i="13"/>
  <c r="AY22" i="13" s="1"/>
  <c r="BD22" i="13" s="1"/>
  <c r="BE22" i="13" s="1"/>
  <c r="BF22" i="13" s="1"/>
  <c r="AT20" i="12"/>
  <c r="AU20" i="12" s="1"/>
  <c r="BD17" i="12" s="1"/>
  <c r="Q9" i="7" s="1"/>
  <c r="H32" i="5"/>
  <c r="H49" i="5" s="1"/>
  <c r="J32" i="5"/>
  <c r="BE11" i="13"/>
  <c r="BG11" i="13" s="1"/>
  <c r="BN9" i="13" s="1"/>
  <c r="H12" i="10" l="1"/>
  <c r="I12" i="10" s="1"/>
  <c r="K12" i="10" s="1"/>
  <c r="H50" i="5" s="1"/>
  <c r="F48" i="15" s="1"/>
  <c r="F47" i="15"/>
  <c r="H3" i="7"/>
  <c r="H3" i="4"/>
  <c r="I6" i="8" s="1"/>
  <c r="J51" i="5"/>
  <c r="AU22" i="13"/>
  <c r="BN19" i="13" s="1"/>
  <c r="Y9" i="7" s="1"/>
  <c r="Y8" i="7"/>
  <c r="BH11" i="13"/>
  <c r="BG22" i="13" s="1"/>
  <c r="BD18" i="12"/>
  <c r="Q10" i="7" s="1"/>
  <c r="R12" i="5" s="1"/>
  <c r="I9" i="15" s="1"/>
  <c r="I27" i="15" l="1"/>
  <c r="S30" i="5"/>
  <c r="H51" i="5"/>
  <c r="F49" i="15" s="1"/>
  <c r="BN20" i="13"/>
  <c r="H4" i="4"/>
  <c r="I7" i="8" s="1"/>
  <c r="H4" i="7"/>
  <c r="BD26" i="12"/>
  <c r="Q11" i="7" s="1"/>
  <c r="S12" i="5" s="1"/>
  <c r="BN30" i="13" l="1"/>
  <c r="Y11" i="7" s="1"/>
  <c r="AD12" i="5" s="1"/>
  <c r="AD31" i="5" s="1"/>
  <c r="L28" i="15" s="1"/>
  <c r="S31" i="5"/>
  <c r="I28" i="15" s="1"/>
  <c r="T12" i="5"/>
  <c r="Y10" i="7"/>
  <c r="AC12" i="5" s="1"/>
  <c r="L9" i="15" s="1"/>
  <c r="H5" i="4"/>
  <c r="I8" i="8" s="1"/>
  <c r="H5" i="7"/>
  <c r="BE25" i="12"/>
  <c r="BE26" i="12" s="1"/>
  <c r="Q12" i="7" s="1"/>
  <c r="U12" i="5" s="1"/>
  <c r="BE86" i="12"/>
  <c r="Q30" i="7" s="1"/>
  <c r="U15" i="5" s="1"/>
  <c r="AQ15" i="5" s="1"/>
  <c r="BO29" i="13" l="1"/>
  <c r="BO30" i="13" s="1"/>
  <c r="Y12" i="7" s="1"/>
  <c r="AF12" i="5" s="1"/>
  <c r="AF32" i="5" s="1"/>
  <c r="AF51" i="5" s="1"/>
  <c r="AO12" i="5"/>
  <c r="AO31" i="5" s="1"/>
  <c r="N28" i="15"/>
  <c r="L27" i="15"/>
  <c r="N9" i="15"/>
  <c r="I29" i="15"/>
  <c r="U32" i="5"/>
  <c r="AE12" i="5"/>
  <c r="AD32" i="5" s="1"/>
  <c r="AD49" i="5" s="1"/>
  <c r="L47" i="15" s="1"/>
  <c r="AD30" i="5"/>
  <c r="AN12" i="5"/>
  <c r="AO30" i="5" s="1"/>
  <c r="S32" i="5"/>
  <c r="S49" i="5" s="1"/>
  <c r="Q3" i="4" s="1"/>
  <c r="AQ12" i="5" l="1"/>
  <c r="T6" i="8"/>
  <c r="AP12" i="5"/>
  <c r="AO32" i="5" s="1"/>
  <c r="AO49" i="5" s="1"/>
  <c r="L29" i="15"/>
  <c r="N29" i="15" s="1"/>
  <c r="N27" i="15"/>
  <c r="H18" i="10"/>
  <c r="I18" i="10" s="1"/>
  <c r="K18" i="10" s="1"/>
  <c r="S50" i="5" s="1"/>
  <c r="I48" i="15" s="1"/>
  <c r="I47" i="15"/>
  <c r="N47" i="15" s="1"/>
  <c r="P1" i="7"/>
  <c r="Z3" i="4"/>
  <c r="AE6" i="8" s="1"/>
  <c r="X1" i="7"/>
  <c r="H24" i="10"/>
  <c r="I24" i="10" s="1"/>
  <c r="K24" i="10" s="1"/>
  <c r="AD50" i="5" s="1"/>
  <c r="L48" i="15" s="1"/>
  <c r="U51" i="5"/>
  <c r="AQ51" i="5" s="1"/>
  <c r="AQ32" i="5"/>
  <c r="AI3" i="8" l="1"/>
  <c r="AB2" i="7"/>
  <c r="AC2" i="4"/>
  <c r="N48" i="15"/>
  <c r="AO50" i="5"/>
  <c r="AO51" i="5" s="1"/>
  <c r="AD51" i="5"/>
  <c r="L49" i="15" s="1"/>
  <c r="Z4" i="4"/>
  <c r="AE7" i="8" s="1"/>
  <c r="X2" i="7"/>
  <c r="S51" i="5"/>
  <c r="Q4" i="4"/>
  <c r="P2" i="7"/>
  <c r="AB3" i="7" l="1"/>
  <c r="AB4" i="7" s="1"/>
  <c r="T7" i="8"/>
  <c r="AI4" i="8" s="1"/>
  <c r="AI5" i="8" s="1"/>
  <c r="AC3" i="4"/>
  <c r="AC4" i="4" s="1"/>
  <c r="Q5" i="4"/>
  <c r="T8" i="8" s="1"/>
  <c r="I49" i="15"/>
  <c r="N49" i="15" s="1"/>
  <c r="Z5" i="4"/>
  <c r="AE8" i="8" s="1"/>
  <c r="X3" i="7"/>
  <c r="P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Siemers, Jenny L.</author>
  </authors>
  <commentList>
    <comment ref="J2" authorId="0" shapeId="0" xr:uid="{00000000-0006-0000-0200-000001000000}">
      <text>
        <r>
          <rPr>
            <sz val="9"/>
            <color indexed="81"/>
            <rFont val="Tahoma"/>
            <family val="2"/>
          </rPr>
          <t>Once you work with Pre-Award, you will have a Coeus number that can be entered here.</t>
        </r>
      </text>
    </comment>
    <comment ref="F5" authorId="0" shapeId="0" xr:uid="{00000000-0006-0000-0200-000002000000}">
      <text>
        <r>
          <rPr>
            <sz val="9"/>
            <color indexed="81"/>
            <rFont val="Tahoma"/>
            <family val="2"/>
          </rPr>
          <t xml:space="preserve">Select the project type from the drop down.
</t>
        </r>
      </text>
    </comment>
    <comment ref="I6" authorId="0" shapeId="0" xr:uid="{00000000-0006-0000-0200-000003000000}">
      <text>
        <r>
          <rPr>
            <sz val="9"/>
            <color indexed="81"/>
            <rFont val="Tahoma"/>
            <family val="2"/>
          </rPr>
          <t>Select from the drop down list.</t>
        </r>
      </text>
    </comment>
    <comment ref="G7" authorId="0" shapeId="0" xr:uid="{00000000-0006-0000-0200-000004000000}">
      <text>
        <r>
          <rPr>
            <sz val="9"/>
            <color indexed="81"/>
            <rFont val="Tahoma"/>
            <family val="2"/>
          </rPr>
          <t xml:space="preserve">Select from the drop down list.  
The start date must be the 1st day of the month.
</t>
        </r>
      </text>
    </comment>
    <comment ref="AM7" authorId="0" shapeId="0" xr:uid="{00000000-0006-0000-0200-000005000000}">
      <text>
        <r>
          <rPr>
            <sz val="9"/>
            <color indexed="81"/>
            <rFont val="Tahoma"/>
            <family val="2"/>
          </rPr>
          <t xml:space="preserve">Select from the drop down list.  
The start date must be the 1st day of the month.
</t>
        </r>
      </text>
    </comment>
    <comment ref="F8" authorId="0" shapeId="0" xr:uid="{00000000-0006-0000-0200-000006000000}">
      <text>
        <r>
          <rPr>
            <sz val="9"/>
            <color indexed="81"/>
            <rFont val="Tahoma"/>
            <family val="2"/>
          </rPr>
          <t>This version of the budget tool will only calculate one project period up to 12 months.</t>
        </r>
      </text>
    </comment>
    <comment ref="AM8" authorId="0" shapeId="0" xr:uid="{00000000-0006-0000-0200-000007000000}">
      <text>
        <r>
          <rPr>
            <sz val="9"/>
            <color indexed="81"/>
            <rFont val="Tahoma"/>
            <family val="2"/>
          </rPr>
          <t>This version of the budget tool will only calculate one project period up to 12 months.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Siemers, Jenny L.</author>
  </authors>
  <commentList>
    <comment ref="B9" authorId="0" shapeId="0" xr:uid="{00000000-0006-0000-0300-000001000000}">
      <text>
        <r>
          <rPr>
            <sz val="9"/>
            <color indexed="81"/>
            <rFont val="Tahoma"/>
            <family val="2"/>
          </rPr>
          <t>Select from the drop down list.  If nothing is selected the salary will not calculate.</t>
        </r>
      </text>
    </comment>
    <comment ref="D9" authorId="0" shapeId="0" xr:uid="{00000000-0006-0000-0300-000002000000}">
      <text>
        <r>
          <rPr>
            <sz val="9"/>
            <color indexed="81"/>
            <rFont val="Tahoma"/>
            <family val="2"/>
          </rPr>
          <t>Will this person be paid for the full period?  If NO, enter the month to start paying them and how many months below.</t>
        </r>
      </text>
    </comment>
    <comment ref="F9" authorId="0" shapeId="0" xr:uid="{00000000-0006-0000-0300-000003000000}">
      <text>
        <r>
          <rPr>
            <sz val="9"/>
            <color indexed="81"/>
            <rFont val="Tahoma"/>
            <family val="2"/>
          </rPr>
          <t>Enter the % of AY/9 month effort for this period.</t>
        </r>
      </text>
    </comment>
    <comment ref="L9" authorId="0" shapeId="0" xr:uid="{00000000-0006-0000-0300-000004000000}">
      <text>
        <r>
          <rPr>
            <sz val="9"/>
            <color indexed="81"/>
            <rFont val="Tahoma"/>
            <family val="2"/>
          </rPr>
          <t>Will this person be paid for the full period?  If NO, enter the month to start paying them and how many months below.</t>
        </r>
      </text>
    </comment>
    <comment ref="N9" authorId="0" shapeId="0" xr:uid="{00000000-0006-0000-0300-000005000000}">
      <text>
        <r>
          <rPr>
            <sz val="9"/>
            <color indexed="81"/>
            <rFont val="Tahoma"/>
            <family val="2"/>
          </rPr>
          <t>Enter the % of AY/9 month effort for this period.</t>
        </r>
      </text>
    </comment>
    <comment ref="T9" authorId="0" shapeId="0" xr:uid="{00000000-0006-0000-0300-000006000000}">
      <text>
        <r>
          <rPr>
            <sz val="9"/>
            <color indexed="81"/>
            <rFont val="Tahoma"/>
            <family val="2"/>
          </rPr>
          <t>Will this person be paid for the full period?  If NO, enter the month to start paying them and how many months below.</t>
        </r>
      </text>
    </comment>
    <comment ref="V9" authorId="0" shapeId="0" xr:uid="{00000000-0006-0000-0300-000007000000}">
      <text>
        <r>
          <rPr>
            <sz val="9"/>
            <color indexed="81"/>
            <rFont val="Tahoma"/>
            <family val="2"/>
          </rPr>
          <t>Enter the % of AY/9 month effort for this period.</t>
        </r>
      </text>
    </comment>
    <comment ref="D10" authorId="0" shapeId="0" xr:uid="{00000000-0006-0000-0300-000008000000}">
      <text>
        <r>
          <rPr>
            <sz val="9"/>
            <color indexed="81"/>
            <rFont val="Tahoma"/>
            <family val="2"/>
          </rPr>
          <t>If "No" is selected for 'Paid Full Period', Enter the month this person will start being paid on the project.</t>
        </r>
      </text>
    </comment>
    <comment ref="F10" authorId="0" shapeId="0" xr:uid="{00000000-0006-0000-0300-000009000000}">
      <text>
        <r>
          <rPr>
            <sz val="9"/>
            <color indexed="81"/>
            <rFont val="Tahoma"/>
            <family val="2"/>
          </rPr>
          <t>Enter the number of days to be PAID in the summer.  Per University policy, 65 day max.  1 month is equivalent to 23 days.  This would be days paid, NOT the number of days in the month.  The number of summer days cannot exceed the maximum days available in the cell below.</t>
        </r>
      </text>
    </comment>
    <comment ref="L10" authorId="0" shapeId="0" xr:uid="{00000000-0006-0000-0300-00000A000000}">
      <text>
        <r>
          <rPr>
            <sz val="9"/>
            <color indexed="81"/>
            <rFont val="Tahoma"/>
            <family val="2"/>
          </rPr>
          <t>If "No" is selected for 'Paid Full Period', Enter the month this person will start being paid on the project.</t>
        </r>
      </text>
    </comment>
    <comment ref="N10" authorId="0" shapeId="0" xr:uid="{00000000-0006-0000-0300-00000B000000}">
      <text>
        <r>
          <rPr>
            <sz val="9"/>
            <color indexed="81"/>
            <rFont val="Tahoma"/>
            <family val="2"/>
          </rPr>
          <t>Enter the number of days to be PAID in the summer.  Per University policy, 65 day max.  1 month is equivalent to 23 days.  This would be days paid, NOT the number of days in the month.  The number of summer days cannot exceed the maximum days available in the cell below.</t>
        </r>
      </text>
    </comment>
    <comment ref="T10" authorId="0" shapeId="0" xr:uid="{00000000-0006-0000-0300-00000C000000}">
      <text>
        <r>
          <rPr>
            <sz val="9"/>
            <color indexed="81"/>
            <rFont val="Tahoma"/>
            <family val="2"/>
          </rPr>
          <t>If "No" is selected for 'Paid Full Period', Enter the month this person will start being paid on the project.</t>
        </r>
      </text>
    </comment>
    <comment ref="V10" authorId="0" shapeId="0" xr:uid="{00000000-0006-0000-0300-00000D000000}">
      <text>
        <r>
          <rPr>
            <sz val="9"/>
            <color indexed="81"/>
            <rFont val="Tahoma"/>
            <family val="2"/>
          </rPr>
          <t>Enter the number of days to be PAID in the summer.  Per University policy, 65 day max.  1 month is equivalent to 23 days.  This would be days paid, NOT the number of days in the month.  The number of summer days cannot exceed the maximum days available in the cell below.</t>
        </r>
      </text>
    </comment>
    <comment ref="B11" authorId="0" shapeId="0" xr:uid="{00000000-0006-0000-0300-00000E000000}">
      <text>
        <r>
          <rPr>
            <sz val="9"/>
            <color indexed="81"/>
            <rFont val="Tahoma"/>
            <family val="2"/>
          </rPr>
          <t>Enter the Annual Base Salary Amount of the current fiscal year.</t>
        </r>
      </text>
    </comment>
    <comment ref="D11" authorId="0" shapeId="0" xr:uid="{00000000-0006-0000-0300-00000F000000}">
      <text>
        <r>
          <rPr>
            <sz val="9"/>
            <color indexed="81"/>
            <rFont val="Tahoma"/>
            <family val="2"/>
          </rPr>
          <t>If "No" is selected for 'Paid Full Period', Enter the number of months this person will be paid on the project. The number of paid months cannot exceed the maximum months available in the cell below.</t>
        </r>
      </text>
    </comment>
    <comment ref="L11" authorId="0" shapeId="0" xr:uid="{00000000-0006-0000-0300-000010000000}">
      <text>
        <r>
          <rPr>
            <sz val="9"/>
            <color indexed="81"/>
            <rFont val="Tahoma"/>
            <family val="2"/>
          </rPr>
          <t>If "No" is selected for 'Paid Full Period', Enter the number of months this person will be paid on the project. The number of paid months cannot exceed the maximum months available in the cell below.</t>
        </r>
      </text>
    </comment>
    <comment ref="T11" authorId="0" shapeId="0" xr:uid="{00000000-0006-0000-0300-000011000000}">
      <text>
        <r>
          <rPr>
            <sz val="9"/>
            <color indexed="81"/>
            <rFont val="Tahoma"/>
            <family val="2"/>
          </rPr>
          <t>If "No" is selected for 'Paid Full Period', Enter the number of months this person will be paid on the project. The number of paid months cannot exceed the maximum months available in the cell below.</t>
        </r>
      </text>
    </comment>
    <comment ref="B39" authorId="0" shapeId="0" xr:uid="{00000000-0006-0000-0300-000012000000}">
      <text>
        <r>
          <rPr>
            <sz val="9"/>
            <color indexed="81"/>
            <rFont val="Tahoma"/>
            <family val="2"/>
          </rPr>
          <t>Select from the drop down list.  If nothing is selected the salary will not calculate.</t>
        </r>
      </text>
    </comment>
    <comment ref="D39" authorId="0" shapeId="0" xr:uid="{00000000-0006-0000-0300-000013000000}">
      <text>
        <r>
          <rPr>
            <sz val="9"/>
            <color indexed="81"/>
            <rFont val="Tahoma"/>
            <family val="2"/>
          </rPr>
          <t>Will this person be paid for the full period?  If NO, enter the month to start paying them and how many months below.</t>
        </r>
      </text>
    </comment>
    <comment ref="F39" authorId="0" shapeId="0" xr:uid="{00000000-0006-0000-0300-000014000000}">
      <text>
        <r>
          <rPr>
            <sz val="9"/>
            <color indexed="81"/>
            <rFont val="Tahoma"/>
            <family val="2"/>
          </rPr>
          <t>Enter the % of FY/12 month effort for this period.</t>
        </r>
      </text>
    </comment>
    <comment ref="L39" authorId="0" shapeId="0" xr:uid="{00000000-0006-0000-0300-000015000000}">
      <text>
        <r>
          <rPr>
            <sz val="9"/>
            <color indexed="81"/>
            <rFont val="Tahoma"/>
            <family val="2"/>
          </rPr>
          <t>Will this person be paid for the full period?  If NO, enter the month to start paying them and how many months below.</t>
        </r>
      </text>
    </comment>
    <comment ref="N39" authorId="0" shapeId="0" xr:uid="{00000000-0006-0000-0300-000016000000}">
      <text>
        <r>
          <rPr>
            <sz val="9"/>
            <color indexed="81"/>
            <rFont val="Tahoma"/>
            <family val="2"/>
          </rPr>
          <t>Enter the % of FY/12 month effort for this period.</t>
        </r>
      </text>
    </comment>
    <comment ref="T39" authorId="0" shapeId="0" xr:uid="{00000000-0006-0000-0300-000017000000}">
      <text>
        <r>
          <rPr>
            <sz val="9"/>
            <color indexed="81"/>
            <rFont val="Tahoma"/>
            <family val="2"/>
          </rPr>
          <t>Will this person be paid for the full period?  If NO, enter the month to start paying them and how many months below.</t>
        </r>
      </text>
    </comment>
    <comment ref="V39" authorId="0" shapeId="0" xr:uid="{00000000-0006-0000-0300-000018000000}">
      <text>
        <r>
          <rPr>
            <sz val="9"/>
            <color indexed="81"/>
            <rFont val="Tahoma"/>
            <family val="2"/>
          </rPr>
          <t>Enter the % of FY/12 month effort for this period.</t>
        </r>
      </text>
    </comment>
    <comment ref="D40" authorId="0" shapeId="0" xr:uid="{00000000-0006-0000-0300-000019000000}">
      <text>
        <r>
          <rPr>
            <sz val="9"/>
            <color indexed="81"/>
            <rFont val="Tahoma"/>
            <family val="2"/>
          </rPr>
          <t>If "No" is selected for 'Paid Full Period', Enter the month this person will start being paid on the project.</t>
        </r>
      </text>
    </comment>
    <comment ref="L40" authorId="0" shapeId="0" xr:uid="{00000000-0006-0000-0300-00001A000000}">
      <text>
        <r>
          <rPr>
            <sz val="9"/>
            <color indexed="81"/>
            <rFont val="Tahoma"/>
            <family val="2"/>
          </rPr>
          <t>If "No" is selected for 'Paid Full Period', Enter the month this person will start being paid on the project.</t>
        </r>
      </text>
    </comment>
    <comment ref="T40" authorId="0" shapeId="0" xr:uid="{00000000-0006-0000-0300-00001B000000}">
      <text>
        <r>
          <rPr>
            <sz val="9"/>
            <color indexed="81"/>
            <rFont val="Tahoma"/>
            <family val="2"/>
          </rPr>
          <t>If "No" is selected for 'Paid Full Period', Enter the month this person will start being paid on the project.</t>
        </r>
      </text>
    </comment>
    <comment ref="B41" authorId="0" shapeId="0" xr:uid="{00000000-0006-0000-0300-00001C000000}">
      <text>
        <r>
          <rPr>
            <sz val="9"/>
            <color indexed="81"/>
            <rFont val="Tahoma"/>
            <family val="2"/>
          </rPr>
          <t>Enter the Annual Base Salary Amount of the current fiscal year.</t>
        </r>
      </text>
    </comment>
    <comment ref="D41" authorId="0" shapeId="0" xr:uid="{00000000-0006-0000-0300-00001D000000}">
      <text>
        <r>
          <rPr>
            <sz val="9"/>
            <color indexed="81"/>
            <rFont val="Tahoma"/>
            <family val="2"/>
          </rPr>
          <t>If "No" is selected for 'Paid Full Period', Enter the number of months this person will be paid on the project. The number of paid months cannot exceed the maximum months available in the cell below.</t>
        </r>
      </text>
    </comment>
    <comment ref="L41" authorId="0" shapeId="0" xr:uid="{00000000-0006-0000-0300-00001E000000}">
      <text>
        <r>
          <rPr>
            <sz val="9"/>
            <color indexed="81"/>
            <rFont val="Tahoma"/>
            <family val="2"/>
          </rPr>
          <t>If "No" is selected for 'Paid Full Period', Enter the number of months this person will be paid on the project. The number of paid months cannot exceed the maximum months available in the cell below.</t>
        </r>
      </text>
    </comment>
    <comment ref="T41" authorId="0" shapeId="0" xr:uid="{00000000-0006-0000-0300-00001F000000}">
      <text>
        <r>
          <rPr>
            <sz val="9"/>
            <color indexed="81"/>
            <rFont val="Tahoma"/>
            <family val="2"/>
          </rPr>
          <t>If "No" is selected for 'Paid Full Period', Enter the number of months this person will be paid on the project. The number of paid months cannot exceed the maximum months available in the cell below.</t>
        </r>
      </text>
    </comment>
    <comment ref="B66" authorId="0" shapeId="0" xr:uid="{00000000-0006-0000-0300-000020000000}">
      <text>
        <r>
          <rPr>
            <sz val="9"/>
            <color indexed="81"/>
            <rFont val="Tahoma"/>
            <family val="2"/>
          </rPr>
          <t>Select from the drop down list.  If nothing is selected the salary will not calculate.</t>
        </r>
      </text>
    </comment>
    <comment ref="D66" authorId="0" shapeId="0" xr:uid="{00000000-0006-0000-0300-000021000000}">
      <text>
        <r>
          <rPr>
            <sz val="9"/>
            <color indexed="81"/>
            <rFont val="Tahoma"/>
            <family val="2"/>
          </rPr>
          <t xml:space="preserve">Will this person be paid for the full period?  If NO, enter the month to start paying them and how many months below.  </t>
        </r>
      </text>
    </comment>
    <comment ref="F66" authorId="0" shapeId="0" xr:uid="{00000000-0006-0000-0300-000022000000}">
      <text>
        <r>
          <rPr>
            <sz val="9"/>
            <color indexed="81"/>
            <rFont val="Tahoma"/>
            <family val="2"/>
          </rPr>
          <t>If 12 Month Grad is Selected, choose 25% or 50% from the drop down list.</t>
        </r>
      </text>
    </comment>
    <comment ref="L66" authorId="0" shapeId="0" xr:uid="{00000000-0006-0000-0300-000023000000}">
      <text>
        <r>
          <rPr>
            <sz val="9"/>
            <color indexed="81"/>
            <rFont val="Tahoma"/>
            <family val="2"/>
          </rPr>
          <t xml:space="preserve">Will this person be paid for the full period?  If NO, enter the month to start paying them and how many months below.  </t>
        </r>
      </text>
    </comment>
    <comment ref="N66" authorId="0" shapeId="0" xr:uid="{00000000-0006-0000-0300-000024000000}">
      <text>
        <r>
          <rPr>
            <sz val="9"/>
            <color indexed="81"/>
            <rFont val="Tahoma"/>
            <family val="2"/>
          </rPr>
          <t>If 12 Month Grad is Selected, choose 25% or 50% from the drop down list.</t>
        </r>
      </text>
    </comment>
    <comment ref="T66" authorId="0" shapeId="0" xr:uid="{00000000-0006-0000-0300-000025000000}">
      <text>
        <r>
          <rPr>
            <sz val="9"/>
            <color indexed="81"/>
            <rFont val="Tahoma"/>
            <family val="2"/>
          </rPr>
          <t xml:space="preserve">Will this person be paid for the full period?  If NO, enter the month to start paying them and how many months below.  </t>
        </r>
      </text>
    </comment>
    <comment ref="V66" authorId="0" shapeId="0" xr:uid="{00000000-0006-0000-0300-000026000000}">
      <text>
        <r>
          <rPr>
            <sz val="9"/>
            <color indexed="81"/>
            <rFont val="Tahoma"/>
            <family val="2"/>
          </rPr>
          <t>If 12 Month Grad is Selected, choose 25% or 50% from the drop down list.</t>
        </r>
      </text>
    </comment>
    <comment ref="D67" authorId="0" shapeId="0" xr:uid="{00000000-0006-0000-0300-000027000000}">
      <text>
        <r>
          <rPr>
            <sz val="9"/>
            <color indexed="81"/>
            <rFont val="Tahoma"/>
            <family val="2"/>
          </rPr>
          <t>If "No" is selected for 'Paid Full Period', Enter the month this person will start being paid on the project.</t>
        </r>
      </text>
    </comment>
    <comment ref="F67" authorId="0" shapeId="0" xr:uid="{00000000-0006-0000-0300-000028000000}">
      <text>
        <r>
          <rPr>
            <sz val="9"/>
            <color indexed="81"/>
            <rFont val="Tahoma"/>
            <family val="2"/>
          </rPr>
          <t>If 9 Month Grad is Selected, choose 25% or 50% from the drop down list. You may also enter summer below.</t>
        </r>
      </text>
    </comment>
    <comment ref="L67" authorId="0" shapeId="0" xr:uid="{00000000-0006-0000-0300-000029000000}">
      <text>
        <r>
          <rPr>
            <sz val="9"/>
            <color indexed="81"/>
            <rFont val="Tahoma"/>
            <family val="2"/>
          </rPr>
          <t>If "No" is selected for 'Paid Full Period', Enter the month this person will start being paid on the project.</t>
        </r>
      </text>
    </comment>
    <comment ref="N67" authorId="0" shapeId="0" xr:uid="{00000000-0006-0000-0300-00002A000000}">
      <text>
        <r>
          <rPr>
            <sz val="9"/>
            <color indexed="81"/>
            <rFont val="Tahoma"/>
            <family val="2"/>
          </rPr>
          <t>If 9 Month Grad is Selected, choose 25% or 50% from the drop down list. You may also enter summer below.</t>
        </r>
      </text>
    </comment>
    <comment ref="T67" authorId="0" shapeId="0" xr:uid="{00000000-0006-0000-0300-00002B000000}">
      <text>
        <r>
          <rPr>
            <sz val="9"/>
            <color indexed="81"/>
            <rFont val="Tahoma"/>
            <family val="2"/>
          </rPr>
          <t>If "No" is selected for 'Paid Full Period', Enter the month this person will start being paid on the project.</t>
        </r>
      </text>
    </comment>
    <comment ref="V67" authorId="0" shapeId="0" xr:uid="{00000000-0006-0000-0300-00002C000000}">
      <text>
        <r>
          <rPr>
            <sz val="9"/>
            <color indexed="81"/>
            <rFont val="Tahoma"/>
            <family val="2"/>
          </rPr>
          <t>If 9 Month Grad is Selected, choose 25% or 50% from the drop down list. You may also enter summer below.</t>
        </r>
      </text>
    </comment>
    <comment ref="B68" authorId="0" shapeId="0" xr:uid="{00000000-0006-0000-0300-00002D000000}">
      <text>
        <r>
          <rPr>
            <sz val="9"/>
            <color indexed="81"/>
            <rFont val="Tahoma"/>
            <family val="2"/>
          </rPr>
          <t>Enter the HALF TIME (50%) MONTHLY Rate for this person.  If this is only a 25% appointment the adjustment will be made automatically.</t>
        </r>
      </text>
    </comment>
    <comment ref="D68" authorId="0" shapeId="0" xr:uid="{00000000-0006-0000-0300-00002E000000}">
      <text>
        <r>
          <rPr>
            <sz val="9"/>
            <color indexed="81"/>
            <rFont val="Tahoma"/>
            <family val="2"/>
          </rPr>
          <t>If "No" is selected for 'Paid Full Period', Enter the number of months this person will be paid on the project. The number of paid months cannot exceed the maximum months available in the cell below.</t>
        </r>
      </text>
    </comment>
    <comment ref="F68" authorId="0" shapeId="0" xr:uid="{00000000-0006-0000-0300-00002F000000}">
      <text>
        <r>
          <rPr>
            <sz val="9"/>
            <color indexed="81"/>
            <rFont val="Tahoma"/>
            <family val="2"/>
          </rPr>
          <t xml:space="preserve">If 9 Month Grad is Selected, you may choose 25% or 50% for the summer months from the drop down list. </t>
        </r>
      </text>
    </comment>
    <comment ref="L68" authorId="0" shapeId="0" xr:uid="{00000000-0006-0000-0300-000030000000}">
      <text>
        <r>
          <rPr>
            <sz val="9"/>
            <color indexed="81"/>
            <rFont val="Tahoma"/>
            <family val="2"/>
          </rPr>
          <t>If "No" is selected for 'Paid Full Period', Enter the number of months this person will be paid on the project. The number of paid months cannot exceed the maximum months available in the cell below.</t>
        </r>
      </text>
    </comment>
    <comment ref="N68" authorId="0" shapeId="0" xr:uid="{00000000-0006-0000-0300-000031000000}">
      <text>
        <r>
          <rPr>
            <sz val="9"/>
            <color indexed="81"/>
            <rFont val="Tahoma"/>
            <family val="2"/>
          </rPr>
          <t xml:space="preserve">If 9 Month Grad is Selected, you may choose 25% or 50% for the summer months from the drop down list. </t>
        </r>
      </text>
    </comment>
    <comment ref="T68" authorId="0" shapeId="0" xr:uid="{00000000-0006-0000-0300-000032000000}">
      <text>
        <r>
          <rPr>
            <sz val="9"/>
            <color indexed="81"/>
            <rFont val="Tahoma"/>
            <family val="2"/>
          </rPr>
          <t>If "No" is selected for 'Paid Full Period', Enter the number of months this person will be paid on the project. The number of paid months cannot exceed the maximum months available in the cell below.</t>
        </r>
      </text>
    </comment>
    <comment ref="V68" authorId="0" shapeId="0" xr:uid="{00000000-0006-0000-0300-000033000000}">
      <text>
        <r>
          <rPr>
            <sz val="9"/>
            <color indexed="81"/>
            <rFont val="Tahoma"/>
            <family val="2"/>
          </rPr>
          <t xml:space="preserve">If 9 Month Grad is Selected, you may choose 25% or 50% for the summer months from the drop down list. </t>
        </r>
      </text>
    </comment>
    <comment ref="F70" authorId="0" shapeId="0" xr:uid="{00000000-0006-0000-0300-000034000000}">
      <text>
        <r>
          <rPr>
            <sz val="9"/>
            <color indexed="81"/>
            <rFont val="Tahoma"/>
            <family val="2"/>
          </rPr>
          <t xml:space="preserve">If a graduate student is budgeted for 25% effort on two separate grants, the fee remits could be split between both grants.  If they will have an additional 25% appointment, select Yes from the drop down list.
</t>
        </r>
      </text>
    </comment>
    <comment ref="C106" authorId="0" shapeId="0" xr:uid="{00000000-0006-0000-0300-000035000000}">
      <text>
        <r>
          <rPr>
            <sz val="9"/>
            <color indexed="81"/>
            <rFont val="Tahoma"/>
            <family val="2"/>
          </rPr>
          <t>Enter the number of students for each hourly rate and number of hours.</t>
        </r>
      </text>
    </comment>
    <comment ref="L106" authorId="0" shapeId="0" xr:uid="{00000000-0006-0000-0300-000036000000}">
      <text>
        <r>
          <rPr>
            <sz val="9"/>
            <color indexed="81"/>
            <rFont val="Tahoma"/>
            <family val="2"/>
          </rPr>
          <t>Enter the number of students for each hourly rate and number of hours.</t>
        </r>
      </text>
    </comment>
    <comment ref="T106" authorId="0" shapeId="0" xr:uid="{00000000-0006-0000-0300-000037000000}">
      <text>
        <r>
          <rPr>
            <sz val="9"/>
            <color indexed="81"/>
            <rFont val="Tahoma"/>
            <family val="2"/>
          </rPr>
          <t>Enter the number of students for each hourly rate and number of hours.</t>
        </r>
      </text>
    </comment>
    <comment ref="C107" authorId="0" shapeId="0" xr:uid="{00000000-0006-0000-0300-000038000000}">
      <text>
        <r>
          <rPr>
            <sz val="9"/>
            <color indexed="81"/>
            <rFont val="Tahoma"/>
            <family val="2"/>
          </rPr>
          <t>Enter the hourly rate.</t>
        </r>
      </text>
    </comment>
    <comment ref="E107" authorId="0" shapeId="0" xr:uid="{00000000-0006-0000-0300-000039000000}">
      <text>
        <r>
          <rPr>
            <sz val="9"/>
            <color indexed="81"/>
            <rFont val="Tahoma"/>
            <family val="2"/>
          </rPr>
          <t>Enter the number of hours per YEAR per 
student.</t>
        </r>
      </text>
    </comment>
    <comment ref="L107" authorId="0" shapeId="0" xr:uid="{00000000-0006-0000-0300-00003A000000}">
      <text>
        <r>
          <rPr>
            <sz val="9"/>
            <color indexed="81"/>
            <rFont val="Tahoma"/>
            <family val="2"/>
          </rPr>
          <t>Enter the hourly rate.</t>
        </r>
      </text>
    </comment>
    <comment ref="N107" authorId="0" shapeId="0" xr:uid="{00000000-0006-0000-0300-00003B000000}">
      <text>
        <r>
          <rPr>
            <sz val="9"/>
            <color indexed="81"/>
            <rFont val="Tahoma"/>
            <family val="2"/>
          </rPr>
          <t>Enter the number of hours per YEAR per 
student.</t>
        </r>
      </text>
    </comment>
    <comment ref="T107" authorId="0" shapeId="0" xr:uid="{00000000-0006-0000-0300-00003C000000}">
      <text>
        <r>
          <rPr>
            <sz val="9"/>
            <color indexed="81"/>
            <rFont val="Tahoma"/>
            <family val="2"/>
          </rPr>
          <t>Enter the hourly rate.</t>
        </r>
      </text>
    </comment>
    <comment ref="V107" authorId="0" shapeId="0" xr:uid="{00000000-0006-0000-0300-00003D000000}">
      <text>
        <r>
          <rPr>
            <sz val="9"/>
            <color indexed="81"/>
            <rFont val="Tahoma"/>
            <family val="2"/>
          </rPr>
          <t>Enter the number of hours per YEAR per 
student.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Siemers, Jenny L.</author>
  </authors>
  <commentList>
    <comment ref="A16" authorId="0" shapeId="0" xr:uid="{00000000-0006-0000-0400-000001000000}">
      <text>
        <r>
          <rPr>
            <sz val="9"/>
            <color indexed="81"/>
            <rFont val="Tahoma"/>
            <family val="2"/>
          </rPr>
          <t xml:space="preserve">
test
</t>
        </r>
      </text>
    </comment>
    <comment ref="A32" authorId="0" shapeId="0" xr:uid="{00000000-0006-0000-0400-000002000000}">
      <text>
        <r>
          <rPr>
            <sz val="9"/>
            <color indexed="81"/>
            <rFont val="Tahoma"/>
            <family val="2"/>
          </rPr>
          <t xml:space="preserve">
test
</t>
        </r>
      </text>
    </comment>
    <comment ref="A48" authorId="0" shapeId="0" xr:uid="{00000000-0006-0000-0400-000003000000}">
      <text>
        <r>
          <rPr>
            <sz val="9"/>
            <color indexed="81"/>
            <rFont val="Tahoma"/>
            <family val="2"/>
          </rPr>
          <t xml:space="preserve">
test
</t>
        </r>
      </text>
    </comment>
    <comment ref="A64" authorId="0" shapeId="0" xr:uid="{00000000-0006-0000-0400-000004000000}">
      <text>
        <r>
          <rPr>
            <sz val="9"/>
            <color indexed="81"/>
            <rFont val="Tahoma"/>
            <family val="2"/>
          </rPr>
          <t xml:space="preserve">
test
</t>
        </r>
      </text>
    </comment>
    <comment ref="A80" authorId="0" shapeId="0" xr:uid="{00000000-0006-0000-0400-000005000000}">
      <text>
        <r>
          <rPr>
            <sz val="9"/>
            <color indexed="81"/>
            <rFont val="Tahoma"/>
            <family val="2"/>
          </rPr>
          <t xml:space="preserve">
test
</t>
        </r>
      </text>
    </comment>
    <comment ref="A97" authorId="0" shapeId="0" xr:uid="{00000000-0006-0000-0400-000006000000}">
      <text>
        <r>
          <rPr>
            <sz val="9"/>
            <color indexed="81"/>
            <rFont val="Tahoma"/>
            <family val="2"/>
          </rPr>
          <t xml:space="preserve">
test
</t>
        </r>
      </text>
    </comment>
    <comment ref="A107" authorId="0" shapeId="0" xr:uid="{00000000-0006-0000-0400-000007000000}">
      <text>
        <r>
          <rPr>
            <sz val="9"/>
            <color indexed="81"/>
            <rFont val="Tahoma"/>
            <family val="2"/>
          </rPr>
          <t xml:space="preserve">
test
</t>
        </r>
      </text>
    </comment>
    <comment ref="A117" authorId="0" shapeId="0" xr:uid="{00000000-0006-0000-0400-000008000000}">
      <text>
        <r>
          <rPr>
            <sz val="9"/>
            <color indexed="81"/>
            <rFont val="Tahoma"/>
            <family val="2"/>
          </rPr>
          <t xml:space="preserve">
test
</t>
        </r>
      </text>
    </comment>
    <comment ref="A127" authorId="0" shapeId="0" xr:uid="{00000000-0006-0000-0400-000009000000}">
      <text>
        <r>
          <rPr>
            <sz val="9"/>
            <color indexed="81"/>
            <rFont val="Tahoma"/>
            <family val="2"/>
          </rPr>
          <t xml:space="preserve">
test
</t>
        </r>
      </text>
    </comment>
    <comment ref="A137" authorId="0" shapeId="0" xr:uid="{00000000-0006-0000-0400-00000A000000}">
      <text>
        <r>
          <rPr>
            <sz val="9"/>
            <color indexed="81"/>
            <rFont val="Tahoma"/>
            <family val="2"/>
          </rPr>
          <t xml:space="preserve">
test
</t>
        </r>
      </text>
    </comment>
    <comment ref="A171" authorId="0" shapeId="0" xr:uid="{00000000-0006-0000-0400-00000B000000}">
      <text>
        <r>
          <rPr>
            <sz val="9"/>
            <color indexed="81"/>
            <rFont val="Tahoma"/>
            <family val="2"/>
          </rPr>
          <t xml:space="preserve">
test
</t>
        </r>
      </text>
    </comment>
    <comment ref="A203" authorId="0" shapeId="0" xr:uid="{00000000-0006-0000-0400-00000C000000}">
      <text>
        <r>
          <rPr>
            <sz val="9"/>
            <color indexed="81"/>
            <rFont val="Tahoma"/>
            <family val="2"/>
          </rPr>
          <t xml:space="preserve">
test
</t>
        </r>
      </text>
    </comment>
    <comment ref="A235" authorId="0" shapeId="0" xr:uid="{00000000-0006-0000-0400-00000D000000}">
      <text>
        <r>
          <rPr>
            <sz val="9"/>
            <color indexed="81"/>
            <rFont val="Tahoma"/>
            <family val="2"/>
          </rPr>
          <t xml:space="preserve">
test
</t>
        </r>
      </text>
    </comment>
    <comment ref="A267" authorId="0" shapeId="0" xr:uid="{00000000-0006-0000-0400-00000E000000}">
      <text>
        <r>
          <rPr>
            <sz val="9"/>
            <color indexed="81"/>
            <rFont val="Tahoma"/>
            <family val="2"/>
          </rPr>
          <t xml:space="preserve">
test
</t>
        </r>
      </text>
    </comment>
    <comment ref="A299" authorId="0" shapeId="0" xr:uid="{00000000-0006-0000-0400-00000F000000}">
      <text>
        <r>
          <rPr>
            <sz val="9"/>
            <color indexed="81"/>
            <rFont val="Tahoma"/>
            <family val="2"/>
          </rPr>
          <t xml:space="preserve">
test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Siemers, Jenny L.</author>
  </authors>
  <commentList>
    <comment ref="A18" authorId="0" shapeId="0" xr:uid="{00000000-0006-0000-0500-000001000000}">
      <text>
        <r>
          <rPr>
            <sz val="9"/>
            <color indexed="81"/>
            <rFont val="Tahoma"/>
            <family val="2"/>
          </rPr>
          <t xml:space="preserve">
test
</t>
        </r>
      </text>
    </comment>
    <comment ref="A38" authorId="0" shapeId="0" xr:uid="{00000000-0006-0000-0500-000002000000}">
      <text>
        <r>
          <rPr>
            <sz val="9"/>
            <color indexed="81"/>
            <rFont val="Tahoma"/>
            <family val="2"/>
          </rPr>
          <t xml:space="preserve">
test
</t>
        </r>
      </text>
    </comment>
    <comment ref="A58" authorId="0" shapeId="0" xr:uid="{00000000-0006-0000-0500-000003000000}">
      <text>
        <r>
          <rPr>
            <sz val="9"/>
            <color indexed="81"/>
            <rFont val="Tahoma"/>
            <family val="2"/>
          </rPr>
          <t xml:space="preserve">
test
</t>
        </r>
      </text>
    </comment>
    <comment ref="A78" authorId="0" shapeId="0" xr:uid="{00000000-0006-0000-0500-000004000000}">
      <text>
        <r>
          <rPr>
            <sz val="9"/>
            <color indexed="81"/>
            <rFont val="Tahoma"/>
            <family val="2"/>
          </rPr>
          <t xml:space="preserve">
test
</t>
        </r>
      </text>
    </comment>
    <comment ref="A98" authorId="0" shapeId="0" xr:uid="{00000000-0006-0000-0500-000005000000}">
      <text>
        <r>
          <rPr>
            <sz val="9"/>
            <color indexed="81"/>
            <rFont val="Tahoma"/>
            <family val="2"/>
          </rPr>
          <t xml:space="preserve">
test
</t>
        </r>
      </text>
    </comment>
    <comment ref="A119" authorId="0" shapeId="0" xr:uid="{00000000-0006-0000-0500-000006000000}">
      <text>
        <r>
          <rPr>
            <sz val="9"/>
            <color indexed="81"/>
            <rFont val="Tahoma"/>
            <family val="2"/>
          </rPr>
          <t xml:space="preserve">
test
</t>
        </r>
      </text>
    </comment>
    <comment ref="A131" authorId="0" shapeId="0" xr:uid="{00000000-0006-0000-0500-000007000000}">
      <text>
        <r>
          <rPr>
            <sz val="9"/>
            <color indexed="81"/>
            <rFont val="Tahoma"/>
            <family val="2"/>
          </rPr>
          <t xml:space="preserve">
test
</t>
        </r>
      </text>
    </comment>
    <comment ref="A143" authorId="0" shapeId="0" xr:uid="{00000000-0006-0000-0500-000008000000}">
      <text>
        <r>
          <rPr>
            <sz val="9"/>
            <color indexed="81"/>
            <rFont val="Tahoma"/>
            <family val="2"/>
          </rPr>
          <t xml:space="preserve">
test
</t>
        </r>
      </text>
    </comment>
    <comment ref="A155" authorId="0" shapeId="0" xr:uid="{00000000-0006-0000-0500-000009000000}">
      <text>
        <r>
          <rPr>
            <sz val="9"/>
            <color indexed="81"/>
            <rFont val="Tahoma"/>
            <family val="2"/>
          </rPr>
          <t xml:space="preserve">
test
</t>
        </r>
      </text>
    </comment>
    <comment ref="A167" authorId="0" shapeId="0" xr:uid="{00000000-0006-0000-0500-00000A000000}">
      <text>
        <r>
          <rPr>
            <sz val="9"/>
            <color indexed="81"/>
            <rFont val="Tahoma"/>
            <family val="2"/>
          </rPr>
          <t xml:space="preserve">
test
</t>
        </r>
      </text>
    </comment>
    <comment ref="A211" authorId="0" shapeId="0" xr:uid="{00000000-0006-0000-0500-00000B000000}">
      <text>
        <r>
          <rPr>
            <sz val="9"/>
            <color indexed="81"/>
            <rFont val="Tahoma"/>
            <family val="2"/>
          </rPr>
          <t xml:space="preserve">
test
</t>
        </r>
      </text>
    </comment>
    <comment ref="A253" authorId="0" shapeId="0" xr:uid="{00000000-0006-0000-0500-00000C000000}">
      <text>
        <r>
          <rPr>
            <sz val="9"/>
            <color indexed="81"/>
            <rFont val="Tahoma"/>
            <family val="2"/>
          </rPr>
          <t xml:space="preserve">
test
</t>
        </r>
      </text>
    </comment>
    <comment ref="A295" authorId="0" shapeId="0" xr:uid="{00000000-0006-0000-0500-00000D000000}">
      <text>
        <r>
          <rPr>
            <sz val="9"/>
            <color indexed="81"/>
            <rFont val="Tahoma"/>
            <family val="2"/>
          </rPr>
          <t xml:space="preserve">
test
</t>
        </r>
      </text>
    </comment>
    <comment ref="A337" authorId="0" shapeId="0" xr:uid="{00000000-0006-0000-0500-00000E000000}">
      <text>
        <r>
          <rPr>
            <sz val="9"/>
            <color indexed="81"/>
            <rFont val="Tahoma"/>
            <family val="2"/>
          </rPr>
          <t xml:space="preserve">
test
</t>
        </r>
      </text>
    </comment>
    <comment ref="A381" authorId="0" shapeId="0" xr:uid="{00000000-0006-0000-0500-00000F000000}">
      <text>
        <r>
          <rPr>
            <sz val="9"/>
            <color indexed="81"/>
            <rFont val="Tahoma"/>
            <family val="2"/>
          </rPr>
          <t xml:space="preserve">
test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Siemers, Jenny L.</author>
  </authors>
  <commentList>
    <comment ref="A20" authorId="0" shapeId="0" xr:uid="{00000000-0006-0000-0600-000001000000}">
      <text>
        <r>
          <rPr>
            <sz val="9"/>
            <color indexed="81"/>
            <rFont val="Tahoma"/>
            <family val="2"/>
          </rPr>
          <t xml:space="preserve">
test
</t>
        </r>
      </text>
    </comment>
    <comment ref="A44" authorId="0" shapeId="0" xr:uid="{00000000-0006-0000-0600-000002000000}">
      <text>
        <r>
          <rPr>
            <sz val="9"/>
            <color indexed="81"/>
            <rFont val="Tahoma"/>
            <family val="2"/>
          </rPr>
          <t xml:space="preserve">
test
</t>
        </r>
      </text>
    </comment>
    <comment ref="A68" authorId="0" shapeId="0" xr:uid="{00000000-0006-0000-0600-000003000000}">
      <text>
        <r>
          <rPr>
            <sz val="9"/>
            <color indexed="81"/>
            <rFont val="Tahoma"/>
            <family val="2"/>
          </rPr>
          <t xml:space="preserve">
test
</t>
        </r>
      </text>
    </comment>
    <comment ref="A92" authorId="0" shapeId="0" xr:uid="{00000000-0006-0000-0600-000004000000}">
      <text>
        <r>
          <rPr>
            <sz val="9"/>
            <color indexed="81"/>
            <rFont val="Tahoma"/>
            <family val="2"/>
          </rPr>
          <t xml:space="preserve">
test
</t>
        </r>
      </text>
    </comment>
    <comment ref="A116" authorId="0" shapeId="0" xr:uid="{00000000-0006-0000-0600-000005000000}">
      <text>
        <r>
          <rPr>
            <sz val="9"/>
            <color indexed="81"/>
            <rFont val="Tahoma"/>
            <family val="2"/>
          </rPr>
          <t xml:space="preserve">
test
</t>
        </r>
      </text>
    </comment>
    <comment ref="A141" authorId="0" shapeId="0" xr:uid="{00000000-0006-0000-0600-000006000000}">
      <text>
        <r>
          <rPr>
            <sz val="9"/>
            <color indexed="81"/>
            <rFont val="Tahoma"/>
            <family val="2"/>
          </rPr>
          <t xml:space="preserve">
test
</t>
        </r>
      </text>
    </comment>
    <comment ref="A155" authorId="0" shapeId="0" xr:uid="{00000000-0006-0000-0600-000007000000}">
      <text>
        <r>
          <rPr>
            <sz val="9"/>
            <color indexed="81"/>
            <rFont val="Tahoma"/>
            <family val="2"/>
          </rPr>
          <t xml:space="preserve">
test
</t>
        </r>
      </text>
    </comment>
    <comment ref="A169" authorId="0" shapeId="0" xr:uid="{00000000-0006-0000-0600-000008000000}">
      <text>
        <r>
          <rPr>
            <sz val="9"/>
            <color indexed="81"/>
            <rFont val="Tahoma"/>
            <family val="2"/>
          </rPr>
          <t xml:space="preserve">
test
</t>
        </r>
      </text>
    </comment>
    <comment ref="A183" authorId="0" shapeId="0" xr:uid="{00000000-0006-0000-0600-000009000000}">
      <text>
        <r>
          <rPr>
            <sz val="9"/>
            <color indexed="81"/>
            <rFont val="Tahoma"/>
            <family val="2"/>
          </rPr>
          <t xml:space="preserve">
test
</t>
        </r>
      </text>
    </comment>
    <comment ref="A197" authorId="0" shapeId="0" xr:uid="{00000000-0006-0000-0600-00000A000000}">
      <text>
        <r>
          <rPr>
            <sz val="9"/>
            <color indexed="81"/>
            <rFont val="Tahoma"/>
            <family val="2"/>
          </rPr>
          <t xml:space="preserve">
test
</t>
        </r>
      </text>
    </comment>
    <comment ref="A252" authorId="0" shapeId="0" xr:uid="{00000000-0006-0000-0600-00000B000000}">
      <text>
        <r>
          <rPr>
            <sz val="9"/>
            <color indexed="81"/>
            <rFont val="Tahoma"/>
            <family val="2"/>
          </rPr>
          <t xml:space="preserve">
test
</t>
        </r>
      </text>
    </comment>
    <comment ref="A304" authorId="0" shapeId="0" xr:uid="{00000000-0006-0000-0600-00000C000000}">
      <text>
        <r>
          <rPr>
            <sz val="9"/>
            <color indexed="81"/>
            <rFont val="Tahoma"/>
            <family val="2"/>
          </rPr>
          <t xml:space="preserve">
test
</t>
        </r>
      </text>
    </comment>
    <comment ref="A356" authorId="0" shapeId="0" xr:uid="{00000000-0006-0000-0600-00000D000000}">
      <text>
        <r>
          <rPr>
            <sz val="9"/>
            <color indexed="81"/>
            <rFont val="Tahoma"/>
            <family val="2"/>
          </rPr>
          <t xml:space="preserve">
test
</t>
        </r>
      </text>
    </comment>
    <comment ref="A408" authorId="0" shapeId="0" xr:uid="{00000000-0006-0000-0600-00000E000000}">
      <text>
        <r>
          <rPr>
            <sz val="9"/>
            <color indexed="81"/>
            <rFont val="Tahoma"/>
            <family val="2"/>
          </rPr>
          <t xml:space="preserve">
test
</t>
        </r>
      </text>
    </comment>
    <comment ref="A462" authorId="0" shapeId="0" xr:uid="{00000000-0006-0000-0600-00000F000000}">
      <text>
        <r>
          <rPr>
            <sz val="9"/>
            <color indexed="81"/>
            <rFont val="Tahoma"/>
            <family val="2"/>
          </rPr>
          <t xml:space="preserve">
test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Siemers, Jenny L.</author>
  </authors>
  <commentList>
    <comment ref="D12" authorId="0" shapeId="0" xr:uid="{00000000-0006-0000-0800-000001000000}">
      <text>
        <r>
          <rPr>
            <sz val="9"/>
            <color indexed="81"/>
            <rFont val="Tahoma"/>
            <family val="2"/>
          </rPr>
          <t xml:space="preserve">Length of Trip should equal the number of days of travel.
</t>
        </r>
      </text>
    </comment>
    <comment ref="E12" authorId="0" shapeId="0" xr:uid="{00000000-0006-0000-0800-000002000000}">
      <text>
        <r>
          <rPr>
            <sz val="9"/>
            <color indexed="81"/>
            <rFont val="Tahoma"/>
            <family val="2"/>
          </rPr>
          <t xml:space="preserve">Enter number of nights for hotel stay.
</t>
        </r>
      </text>
    </comment>
    <comment ref="O12" authorId="0" shapeId="0" xr:uid="{00000000-0006-0000-0800-000003000000}">
      <text>
        <r>
          <rPr>
            <sz val="9"/>
            <color indexed="81"/>
            <rFont val="Tahoma"/>
            <family val="2"/>
          </rPr>
          <t xml:space="preserve">Length of Trip should equal the number of days of travel.
</t>
        </r>
      </text>
    </comment>
    <comment ref="P12" authorId="0" shapeId="0" xr:uid="{00000000-0006-0000-0800-000004000000}">
      <text>
        <r>
          <rPr>
            <sz val="9"/>
            <color indexed="81"/>
            <rFont val="Tahoma"/>
            <family val="2"/>
          </rPr>
          <t xml:space="preserve">Enter number of nights for hotel stay.
</t>
        </r>
      </text>
    </comment>
    <comment ref="Z12" authorId="0" shapeId="0" xr:uid="{00000000-0006-0000-0800-000005000000}">
      <text>
        <r>
          <rPr>
            <sz val="9"/>
            <color indexed="81"/>
            <rFont val="Tahoma"/>
            <family val="2"/>
          </rPr>
          <t xml:space="preserve">Length of Trip should equal the number of days of travel.
</t>
        </r>
      </text>
    </comment>
    <comment ref="AA12" authorId="0" shapeId="0" xr:uid="{00000000-0006-0000-0800-000006000000}">
      <text>
        <r>
          <rPr>
            <sz val="9"/>
            <color indexed="81"/>
            <rFont val="Tahoma"/>
            <family val="2"/>
          </rPr>
          <t xml:space="preserve">Enter number of nights for hotel stay.
</t>
        </r>
      </text>
    </comment>
  </commentList>
</comments>
</file>

<file path=xl/sharedStrings.xml><?xml version="1.0" encoding="utf-8"?>
<sst xmlns="http://schemas.openxmlformats.org/spreadsheetml/2006/main" count="17647" uniqueCount="750">
  <si>
    <t>Jan</t>
  </si>
  <si>
    <t>Feb</t>
  </si>
  <si>
    <t>Mar</t>
  </si>
  <si>
    <t>Apr</t>
  </si>
  <si>
    <t>May</t>
  </si>
  <si>
    <t>June</t>
  </si>
  <si>
    <t>July</t>
  </si>
  <si>
    <t>Aug</t>
  </si>
  <si>
    <t>Sept</t>
  </si>
  <si>
    <t>Oct</t>
  </si>
  <si>
    <t>Nov</t>
  </si>
  <si>
    <t>Dec</t>
  </si>
  <si>
    <t>Monthly Rate</t>
  </si>
  <si>
    <t>DRAFT ONLY - NOT TO BE SENT TO SPONSORS</t>
  </si>
  <si>
    <t>Month</t>
  </si>
  <si>
    <t>Year</t>
  </si>
  <si>
    <t>% of Effort</t>
  </si>
  <si>
    <t>START DATE</t>
  </si>
  <si>
    <t>Months in Period 1</t>
  </si>
  <si>
    <t>FY21 Rates</t>
  </si>
  <si>
    <t>FY22 Rates</t>
  </si>
  <si>
    <t>FY23 Rates</t>
  </si>
  <si>
    <t>FY24 Rates</t>
  </si>
  <si>
    <t>FY Appt</t>
  </si>
  <si>
    <t>AY Appt</t>
  </si>
  <si>
    <t>12 Mo Person 1</t>
  </si>
  <si>
    <t>12 Mo Person 2</t>
  </si>
  <si>
    <t>9 Mo Person 1</t>
  </si>
  <si>
    <t xml:space="preserve">AY Months </t>
  </si>
  <si>
    <t>FY 1</t>
  </si>
  <si>
    <t>2022</t>
  </si>
  <si>
    <t>FY21 Salary</t>
  </si>
  <si>
    <t>FY22 Salary</t>
  </si>
  <si>
    <t>FY23 Salary</t>
  </si>
  <si>
    <t>FY24 Salary</t>
  </si>
  <si>
    <t>Mo in FY 21</t>
  </si>
  <si>
    <t>FY25 Rates</t>
  </si>
  <si>
    <t>FY26 Rates</t>
  </si>
  <si>
    <t>FY27 Rates</t>
  </si>
  <si>
    <t>FY28 Rates</t>
  </si>
  <si>
    <t xml:space="preserve">START </t>
  </si>
  <si>
    <t>Mo in PP1</t>
  </si>
  <si>
    <t>Mult</t>
  </si>
  <si>
    <t>FY 22 Mo</t>
  </si>
  <si>
    <t>FY 23 Mo</t>
  </si>
  <si>
    <t>FY 24 Mo</t>
  </si>
  <si>
    <t>9 Mo Person 2</t>
  </si>
  <si>
    <t>9 Mo Person 3</t>
  </si>
  <si>
    <t>9 Mo Person 4</t>
  </si>
  <si>
    <t>9 Mo Person 5</t>
  </si>
  <si>
    <t>Non Pay Mo. In FY20</t>
  </si>
  <si>
    <t>Non Pay Mo. In FY21</t>
  </si>
  <si>
    <t xml:space="preserve"> FY21 Mo</t>
  </si>
  <si>
    <t>Mo in FY 22</t>
  </si>
  <si>
    <t>Faculty</t>
  </si>
  <si>
    <t>Post Doc</t>
  </si>
  <si>
    <t>Grad Student</t>
  </si>
  <si>
    <t>Clerical</t>
  </si>
  <si>
    <t>Student</t>
  </si>
  <si>
    <t>12 Month Position 1</t>
  </si>
  <si>
    <t>12 Mo Person 3</t>
  </si>
  <si>
    <t>12 Mo Person 4</t>
  </si>
  <si>
    <t>12 Mo Person 5</t>
  </si>
  <si>
    <t>12 Mo Person 6</t>
  </si>
  <si>
    <t>12 Mo Person 7</t>
  </si>
  <si>
    <t>12 Mo Person 8</t>
  </si>
  <si>
    <t>12 Mo Person 9</t>
  </si>
  <si>
    <t>12 Mo Person 10</t>
  </si>
  <si>
    <t>Mult Neg Mo</t>
  </si>
  <si>
    <t>Mo. Remain</t>
  </si>
  <si>
    <t>Sum Lookup</t>
  </si>
  <si>
    <t>&gt;12</t>
  </si>
  <si>
    <t>MR Mult</t>
  </si>
  <si>
    <t>START</t>
  </si>
  <si>
    <t>Others</t>
  </si>
  <si>
    <t>Number of Summer Months in Remaining FY</t>
  </si>
  <si>
    <t xml:space="preserve">Convert Month </t>
  </si>
  <si>
    <t>Month #</t>
  </si>
  <si>
    <t>Mo in FY 23</t>
  </si>
  <si>
    <t>Mo in FY 24</t>
  </si>
  <si>
    <t>Start Mo +</t>
  </si>
  <si>
    <t>Start Mo.</t>
  </si>
  <si>
    <t>Mult. Neg</t>
  </si>
  <si>
    <t>AY Mo. B4 start</t>
  </si>
  <si>
    <t>Days of Summer</t>
  </si>
  <si>
    <t>FY29 Rates</t>
  </si>
  <si>
    <t>FY30 Rates</t>
  </si>
  <si>
    <t>SumLookup</t>
  </si>
  <si>
    <t>based on start month</t>
  </si>
  <si>
    <t>start mo.</t>
  </si>
  <si>
    <t>Mo. B4 Start</t>
  </si>
  <si>
    <t>Mo Left in AY 22</t>
  </si>
  <si>
    <t>Mo Left in AY 23</t>
  </si>
  <si>
    <t>AY 21 Mo Avail</t>
  </si>
  <si>
    <t>Mo Left in AY 24</t>
  </si>
  <si>
    <t># of Summer Days</t>
  </si>
  <si>
    <t>TOTAL SALARY</t>
  </si>
  <si>
    <t>Inflation</t>
  </si>
  <si>
    <t>Sum Day this FY</t>
  </si>
  <si>
    <t xml:space="preserve">Sum Day this FY </t>
  </si>
  <si>
    <t>this FY Mult</t>
  </si>
  <si>
    <t>Sum  Days FY21</t>
  </si>
  <si>
    <t>Sum Days FY22</t>
  </si>
  <si>
    <t>Days Remaining</t>
  </si>
  <si>
    <t>Day Remaining</t>
  </si>
  <si>
    <t>Sum  Days FY22</t>
  </si>
  <si>
    <t>Sum Days FY23</t>
  </si>
  <si>
    <t>FY Month avail</t>
  </si>
  <si>
    <t>Months left in PP</t>
  </si>
  <si>
    <t>AY 22 Mo Avail</t>
  </si>
  <si>
    <t xml:space="preserve"> FY22 Mo</t>
  </si>
  <si>
    <t xml:space="preserve">FY21 Base Salary </t>
  </si>
  <si>
    <t>FY31 Rates</t>
  </si>
  <si>
    <t>Fringes</t>
  </si>
  <si>
    <t>FY Added</t>
  </si>
  <si>
    <t>1st Yr</t>
  </si>
  <si>
    <t>NonPay Mo FY1</t>
  </si>
  <si>
    <t>Total Summer</t>
  </si>
  <si>
    <t>3 weeks</t>
  </si>
  <si>
    <t>Summer Days</t>
  </si>
  <si>
    <t>1 day</t>
  </si>
  <si>
    <t>1 week</t>
  </si>
  <si>
    <t>2 weeks</t>
  </si>
  <si>
    <t>4 weeks</t>
  </si>
  <si>
    <t>1 month</t>
  </si>
  <si>
    <t>2 months</t>
  </si>
  <si>
    <t>Summer Effort</t>
  </si>
  <si>
    <t>Fee Remits</t>
  </si>
  <si>
    <t>Months</t>
  </si>
  <si>
    <t>Rate</t>
  </si>
  <si>
    <t>Remits</t>
  </si>
  <si>
    <t xml:space="preserve">This  </t>
  </si>
  <si>
    <t>Next</t>
  </si>
  <si>
    <t>summer days avail</t>
  </si>
  <si>
    <t>Fee Remits AY</t>
  </si>
  <si>
    <t>FY 20 Rate==&gt;</t>
  </si>
  <si>
    <t>Fee Remits FY</t>
  </si>
  <si>
    <t>5 weeks</t>
  </si>
  <si>
    <t>6 weeks</t>
  </si>
  <si>
    <t>7 weeks</t>
  </si>
  <si>
    <t>8 weeks</t>
  </si>
  <si>
    <t>9 weeks</t>
  </si>
  <si>
    <t>10 weeks</t>
  </si>
  <si>
    <t>11 weeks</t>
  </si>
  <si>
    <t>12 weeks</t>
  </si>
  <si>
    <t>13 weeks/3 months</t>
  </si>
  <si>
    <t>0.25 month</t>
  </si>
  <si>
    <t>0.50 month</t>
  </si>
  <si>
    <t>1.5 month</t>
  </si>
  <si>
    <t>9 Mo Grad 1</t>
  </si>
  <si>
    <t>9 Mo Grad 2</t>
  </si>
  <si>
    <t>9 Mo Grad 3</t>
  </si>
  <si>
    <t>9 Mo Grad 4</t>
  </si>
  <si>
    <t>9 Mo Grad 5</t>
  </si>
  <si>
    <t>12 Mo Grad 1</t>
  </si>
  <si>
    <t>12 Mo Grad 2</t>
  </si>
  <si>
    <t>12 Mo Grad 3</t>
  </si>
  <si>
    <t>12 Mo Grad 4</t>
  </si>
  <si>
    <t>12 Mo Grad 5</t>
  </si>
  <si>
    <t>AYFYMult</t>
  </si>
  <si>
    <t>GradSumDay</t>
  </si>
  <si>
    <t>Fee Remit</t>
  </si>
  <si>
    <t>Days=Months</t>
  </si>
  <si>
    <t>Remaining</t>
  </si>
  <si>
    <t>Paid Months</t>
  </si>
  <si>
    <t>Future</t>
  </si>
  <si>
    <t xml:space="preserve">This FY  </t>
  </si>
  <si>
    <t>1/1/21-6/30/21</t>
  </si>
  <si>
    <t>7/1/21-6/30/22</t>
  </si>
  <si>
    <t>7/1/22-6/30/23</t>
  </si>
  <si>
    <t>Graduate Student 1</t>
  </si>
  <si>
    <t>% of FY Effort</t>
  </si>
  <si>
    <t>% of AY Effort</t>
  </si>
  <si>
    <t>None</t>
  </si>
  <si>
    <t>Name</t>
  </si>
  <si>
    <t>12 Month Position 2</t>
  </si>
  <si>
    <t>12 Month Position 3</t>
  </si>
  <si>
    <t xml:space="preserve">Grad Fee Remits </t>
  </si>
  <si>
    <t>Monthly</t>
  </si>
  <si>
    <t>FY Rate</t>
  </si>
  <si>
    <t>AY Rate</t>
  </si>
  <si>
    <t>AY Only Mult</t>
  </si>
  <si>
    <t>9 MONTH</t>
  </si>
  <si>
    <t>Summer Yes Mult</t>
  </si>
  <si>
    <t>Fringe Benefits AY</t>
  </si>
  <si>
    <t>FEE REMITS</t>
  </si>
  <si>
    <t>Fringe Benefits Sum</t>
  </si>
  <si>
    <t>Fee Remits Sum</t>
  </si>
  <si>
    <t>Fringe Benefits FY</t>
  </si>
  <si>
    <t>12 Month Position 4</t>
  </si>
  <si>
    <t>12 Month Position 5</t>
  </si>
  <si>
    <t xml:space="preserve">12 Month Graduate Student or 9 Month Graduate Student </t>
  </si>
  <si>
    <t>12 Month</t>
  </si>
  <si>
    <t>9 mo/12mo</t>
  </si>
  <si>
    <t>9 Month</t>
  </si>
  <si>
    <t>Graduate Student 2</t>
  </si>
  <si>
    <t>Graduate Student 3</t>
  </si>
  <si>
    <t>Graduate Student 4</t>
  </si>
  <si>
    <t>Graduate Student 5</t>
  </si>
  <si>
    <t>Equipment</t>
  </si>
  <si>
    <t>Travel</t>
  </si>
  <si>
    <t>Participant Support</t>
  </si>
  <si>
    <t>Stipend</t>
  </si>
  <si>
    <t>Subsistence</t>
  </si>
  <si>
    <t>Other</t>
  </si>
  <si>
    <t>Publications</t>
  </si>
  <si>
    <t>Recharge Center Cost</t>
  </si>
  <si>
    <t>Subcontracts</t>
  </si>
  <si>
    <t>with F&amp;A</t>
  </si>
  <si>
    <t>email contact info</t>
  </si>
  <si>
    <t>Travel - Domestic</t>
  </si>
  <si>
    <t>Travel - Foreign</t>
  </si>
  <si>
    <t>description of publications</t>
  </si>
  <si>
    <t>Other Direct Costs</t>
  </si>
  <si>
    <t>provide description of costs</t>
  </si>
  <si>
    <t>provide a description of items</t>
  </si>
  <si>
    <t>Recharge Center name</t>
  </si>
  <si>
    <t xml:space="preserve">Total </t>
  </si>
  <si>
    <t>Sub Name</t>
  </si>
  <si>
    <t>Materials and Supplies</t>
  </si>
  <si>
    <t>Consultants</t>
  </si>
  <si>
    <t>List Item and Amount for each item over $5,000</t>
  </si>
  <si>
    <t>PI</t>
  </si>
  <si>
    <t>Sponsor</t>
  </si>
  <si>
    <t>Salary</t>
  </si>
  <si>
    <t xml:space="preserve">Fringe </t>
  </si>
  <si>
    <t>Total Cost</t>
  </si>
  <si>
    <t>Cal</t>
  </si>
  <si>
    <t>Acad</t>
  </si>
  <si>
    <t>Total Salaries and Wages</t>
  </si>
  <si>
    <t>Fringe Benefits</t>
  </si>
  <si>
    <t>Travel Domestic</t>
  </si>
  <si>
    <t>Travel Foreign</t>
  </si>
  <si>
    <t>Recharge Center Costs</t>
  </si>
  <si>
    <t>Total Other Direct Costs</t>
  </si>
  <si>
    <t>Grad Fee Remissions</t>
  </si>
  <si>
    <t>Total Direct Costs</t>
  </si>
  <si>
    <t>Total Costs</t>
  </si>
  <si>
    <t>Position Type</t>
  </si>
  <si>
    <t>Grad Fee Remits</t>
  </si>
  <si>
    <t>Exclusions</t>
  </si>
  <si>
    <t>PartSup</t>
  </si>
  <si>
    <t>Provide Personnel Information in the Yellow Fields</t>
  </si>
  <si>
    <t>Project Personnel</t>
  </si>
  <si>
    <t>Remit Mult</t>
  </si>
  <si>
    <t>Non Purdue Employees participating for educational purposes</t>
  </si>
  <si>
    <t>Non Purdue Employee Only - Provide Name</t>
  </si>
  <si>
    <t>Subs</t>
  </si>
  <si>
    <t>Other Excluded</t>
  </si>
  <si>
    <t>SumGradEffort</t>
  </si>
  <si>
    <t>AY or FY</t>
  </si>
  <si>
    <t>Full Time (100%) Annual Rate</t>
  </si>
  <si>
    <t>College</t>
  </si>
  <si>
    <t>Minimum</t>
  </si>
  <si>
    <t>Maximum</t>
  </si>
  <si>
    <t>Notes</t>
  </si>
  <si>
    <t>Engineering</t>
  </si>
  <si>
    <t>FY</t>
  </si>
  <si>
    <t>NA</t>
  </si>
  <si>
    <t>Chemical Engineering</t>
  </si>
  <si>
    <t>Electrical &amp; Computer Engineering</t>
  </si>
  <si>
    <t>Engineering Education</t>
  </si>
  <si>
    <t>Materials Engineering</t>
  </si>
  <si>
    <t>Nuclear Engineering</t>
  </si>
  <si>
    <t>Lab/Renewable Res Engineering</t>
  </si>
  <si>
    <t>Biomedical Engineering</t>
  </si>
  <si>
    <t>Agriculture</t>
  </si>
  <si>
    <t>Biochemistry</t>
  </si>
  <si>
    <t>Entomology</t>
  </si>
  <si>
    <t>Food Science</t>
  </si>
  <si>
    <t>Education</t>
  </si>
  <si>
    <t>Education (FY)</t>
  </si>
  <si>
    <t>Education (AY)</t>
  </si>
  <si>
    <t>AY</t>
  </si>
  <si>
    <t>Health &amp; Human Sciences</t>
  </si>
  <si>
    <t>Health &amp; Human Sciences Admin</t>
  </si>
  <si>
    <t>Consumer Sciences &amp; Retailing</t>
  </si>
  <si>
    <t>Nutrition Science</t>
  </si>
  <si>
    <t>Hospitality &amp; Tourism Management</t>
  </si>
  <si>
    <t>Human Development &amp; Family Studies</t>
  </si>
  <si>
    <t>Health &amp; Kinesiology</t>
  </si>
  <si>
    <t>Health Sciences</t>
  </si>
  <si>
    <t>Nursing</t>
  </si>
  <si>
    <t>Speech, Language, &amp; Hearing Sciences</t>
  </si>
  <si>
    <t>Liberal Arts</t>
  </si>
  <si>
    <t>Academic Advising (AY)</t>
  </si>
  <si>
    <t>Academic Advising (FY)</t>
  </si>
  <si>
    <t>Administration (AY)</t>
  </si>
  <si>
    <t>Administration (FY)</t>
  </si>
  <si>
    <t>Anthropology (AY)</t>
  </si>
  <si>
    <t>Anthropology (FY)</t>
  </si>
  <si>
    <t>English (AY)</t>
  </si>
  <si>
    <t>English (FY)</t>
  </si>
  <si>
    <t>Interdisciplinary Studies (AY)</t>
  </si>
  <si>
    <t>Interdisciplinary Studies (FY)</t>
  </si>
  <si>
    <t>Languages and Cultures (AY)</t>
  </si>
  <si>
    <t>Languages and Cultures (FY)</t>
  </si>
  <si>
    <t>Philosophy (AY)</t>
  </si>
  <si>
    <t>Philosophy (FY)</t>
  </si>
  <si>
    <t>Sociology (AY)</t>
  </si>
  <si>
    <t>Sociology (FY)</t>
  </si>
  <si>
    <t>Visual and Performing Arts (AY)</t>
  </si>
  <si>
    <t>Visual and Performing Arts (FY)</t>
  </si>
  <si>
    <t>Pharmacy</t>
  </si>
  <si>
    <t>Pharmacy Practice</t>
  </si>
  <si>
    <t>Industrial &amp; Physical Pharmacy</t>
  </si>
  <si>
    <t>Science</t>
  </si>
  <si>
    <t>Biology</t>
  </si>
  <si>
    <t>Chemistry</t>
  </si>
  <si>
    <t>Note:  AY Post Doc paid 2 months summer  (check with BO if salary exceeds 45K)</t>
  </si>
  <si>
    <t>EAPS</t>
  </si>
  <si>
    <t>Computer Science</t>
  </si>
  <si>
    <t>Statistics</t>
  </si>
  <si>
    <t>Veterinary Medicine</t>
  </si>
  <si>
    <t>Center for Paralysis Research</t>
  </si>
  <si>
    <t>Basic Medical Science</t>
  </si>
  <si>
    <t>Veterinary Clinical Sciences</t>
  </si>
  <si>
    <t>VCS - Resident Year 1</t>
  </si>
  <si>
    <t>VCS - Resident Year 2</t>
  </si>
  <si>
    <t>VCS - Resident Year 3</t>
  </si>
  <si>
    <t>ADDL</t>
  </si>
  <si>
    <t>Polytechnic</t>
  </si>
  <si>
    <t>Polytechnic (AY) Grad 0</t>
  </si>
  <si>
    <t>Polytechnic (AY) Grad 1</t>
  </si>
  <si>
    <t>Polytechnic (AY) Grad 2</t>
  </si>
  <si>
    <t>Polytechnic (AY) Grad 3</t>
  </si>
  <si>
    <t>Polytechnic (FY) Grad 0</t>
  </si>
  <si>
    <t>Polytechnic (FY) Grad 1</t>
  </si>
  <si>
    <t>Polytechnic (FY) Grad 2</t>
  </si>
  <si>
    <t>Polytechnic (FY) Grad 3</t>
  </si>
  <si>
    <t>Appt.</t>
  </si>
  <si>
    <t>Grad Student and Post Doc Rates by College and Department</t>
  </si>
  <si>
    <t>Select your college and department to see the appointment type and recommended rates for each personnel category.</t>
  </si>
  <si>
    <t>12 Month/FY Faculty and Other Personnel</t>
  </si>
  <si>
    <t>This is a reasonable departmental rate.  The PI may choose to budget at a higher rate.</t>
  </si>
  <si>
    <t>9 Month Position 1</t>
  </si>
  <si>
    <t>9 Month Position 2</t>
  </si>
  <si>
    <t>9 Month Position 3</t>
  </si>
  <si>
    <t>9 Month Position 4</t>
  </si>
  <si>
    <t>9 Month Position 5</t>
  </si>
  <si>
    <t>9 Month/AY Faculty and Other Personnel</t>
  </si>
  <si>
    <t xml:space="preserve">7/1/20 Base Salary </t>
  </si>
  <si>
    <t>7/1/21 Rates</t>
  </si>
  <si>
    <t>7/1/22 Rates</t>
  </si>
  <si>
    <t>7/1/23 Rates</t>
  </si>
  <si>
    <t>7/1/24 Rates</t>
  </si>
  <si>
    <t>7/1/25 Rates</t>
  </si>
  <si>
    <t>7/1/26 Rates</t>
  </si>
  <si>
    <t>7/1/27 Rates</t>
  </si>
  <si>
    <t>7/1/29 Rates</t>
  </si>
  <si>
    <t>7/1/30 Rates</t>
  </si>
  <si>
    <t>7/1/31 Rates</t>
  </si>
  <si>
    <t>7/1/28 Rates</t>
  </si>
  <si>
    <t xml:space="preserve">Suggested </t>
  </si>
  <si>
    <t>Suggested</t>
  </si>
  <si>
    <t>Approval needed for Lower Rate</t>
  </si>
  <si>
    <t>Civil Engineering MS</t>
  </si>
  <si>
    <t>Civil Engineering PhD</t>
  </si>
  <si>
    <t>Mechanical Engineering PhD</t>
  </si>
  <si>
    <t>Mechanical Engineering MS</t>
  </si>
  <si>
    <t>Construction Engineering MS</t>
  </si>
  <si>
    <t>Construction Engineering PhD</t>
  </si>
  <si>
    <t>Ag Economics MS</t>
  </si>
  <si>
    <t>Ag Economics PhD</t>
  </si>
  <si>
    <t>Ag &amp; Biological Engineering MS</t>
  </si>
  <si>
    <t>Ag &amp; Biological Engineering PhD</t>
  </si>
  <si>
    <t>Agronomy MS</t>
  </si>
  <si>
    <t>Agronomy PhD</t>
  </si>
  <si>
    <t>Animal Science MS</t>
  </si>
  <si>
    <t>Animal Science PhD</t>
  </si>
  <si>
    <t>Botany MS</t>
  </si>
  <si>
    <t>Botany PhD</t>
  </si>
  <si>
    <t>Botany Prelim</t>
  </si>
  <si>
    <t>Foresty &amp; Natural Resources MS</t>
  </si>
  <si>
    <t>Foresty &amp; Natural Resources PhD</t>
  </si>
  <si>
    <t>Agriculutral Sciences Education and Comm. MS</t>
  </si>
  <si>
    <t>Agriculutral Sciences Education and Comm. PhD</t>
  </si>
  <si>
    <t>Psychology Year 1-3</t>
  </si>
  <si>
    <t>Psychology Years 4-6</t>
  </si>
  <si>
    <t>Communication MS (AY)</t>
  </si>
  <si>
    <t>Communication PhD  (AY)</t>
  </si>
  <si>
    <t>Communication MS (FY)</t>
  </si>
  <si>
    <t>Communication PhD (FY)</t>
  </si>
  <si>
    <t>History New (AY)</t>
  </si>
  <si>
    <t>History Returning (AY)</t>
  </si>
  <si>
    <t>History New (FY)</t>
  </si>
  <si>
    <t>History Returning (FY)</t>
  </si>
  <si>
    <t>Political Science New (AY)</t>
  </si>
  <si>
    <t>Political Science Returning (AY)</t>
  </si>
  <si>
    <t>Political Science New (FY)</t>
  </si>
  <si>
    <t>Political Science Returning (FY)</t>
  </si>
  <si>
    <t>MCMP non-fellows</t>
  </si>
  <si>
    <t>MCMP RA's who were previous fellows</t>
  </si>
  <si>
    <t>Polytechnic Post Doc Assistant (AY)</t>
  </si>
  <si>
    <t>Polytechnic Post Doc Associate (AY)</t>
  </si>
  <si>
    <t>Polytechnic Post Doc Assistant (FY)</t>
  </si>
  <si>
    <t>Polytechnic Post Doc Associate (FY)</t>
  </si>
  <si>
    <t>$  37174-43000</t>
  </si>
  <si>
    <t>$  43000-55000</t>
  </si>
  <si>
    <t>$  47500-55000</t>
  </si>
  <si>
    <t>$  55000-70279</t>
  </si>
  <si>
    <t>Physics &amp; Astronomy 0-1 years</t>
  </si>
  <si>
    <t>Physics &amp; Astronomy 2+ years</t>
  </si>
  <si>
    <t>Note:  AY Post Doc paid 2 months summer - PI choice</t>
  </si>
  <si>
    <t>Comparative Pathobiology MS</t>
  </si>
  <si>
    <t>Comparative Pathobiology PhD</t>
  </si>
  <si>
    <t>Comparative Pathobiology DVM</t>
  </si>
  <si>
    <t>Approval needed for Higher Rate</t>
  </si>
  <si>
    <t>Equipment - no overhead</t>
  </si>
  <si>
    <t>Other Direct Costs - Included in F&amp;A Base - with overhead</t>
  </si>
  <si>
    <t>Total Cost to Project</t>
  </si>
  <si>
    <t xml:space="preserve">Summer Days </t>
  </si>
  <si>
    <t>% AY Effort</t>
  </si>
  <si>
    <t>% FY Effort</t>
  </si>
  <si>
    <t>Total AY</t>
  </si>
  <si>
    <t>TOTAL FRINGE</t>
  </si>
  <si>
    <t xml:space="preserve">Total FY </t>
  </si>
  <si>
    <t>F&amp;A</t>
  </si>
  <si>
    <t>F&amp;A Rate</t>
  </si>
  <si>
    <t>Undergrad Student Hourly 1</t>
  </si>
  <si>
    <t>Hourly Rate</t>
  </si>
  <si>
    <t>Hours/Year</t>
  </si>
  <si>
    <t>Total Salary</t>
  </si>
  <si>
    <t>Total Fringe</t>
  </si>
  <si>
    <t>Undergrad Student Hourly 2</t>
  </si>
  <si>
    <t>Undergrad Student Hourly 3</t>
  </si>
  <si>
    <t>Start Month</t>
  </si>
  <si>
    <t>Months Paid Period 1</t>
  </si>
  <si>
    <t>Paid Full Period</t>
  </si>
  <si>
    <t>YES</t>
  </si>
  <si>
    <t>Month==&gt;</t>
  </si>
  <si>
    <t>To be Paid Full Period? =&gt;</t>
  </si>
  <si>
    <t>Annual Salary</t>
  </si>
  <si>
    <t>Period 1</t>
  </si>
  <si>
    <t>AY Effort</t>
  </si>
  <si>
    <t>Total Project Cost Period 1</t>
  </si>
  <si>
    <t>Date</t>
  </si>
  <si>
    <t xml:space="preserve">Start </t>
  </si>
  <si>
    <t>Paid Full Period?</t>
  </si>
  <si>
    <t>Month to start pay</t>
  </si>
  <si>
    <t>$  37,174-50,000</t>
  </si>
  <si>
    <t>$  50,000-73,000</t>
  </si>
  <si>
    <t>Coeus Dev #</t>
  </si>
  <si>
    <t>Total Sum</t>
  </si>
  <si>
    <t xml:space="preserve">No, Enter Months </t>
  </si>
  <si>
    <t>Sum Days</t>
  </si>
  <si>
    <t>FY Effort</t>
  </si>
  <si>
    <t>Total FY</t>
  </si>
  <si>
    <t>Grad Appt Type</t>
  </si>
  <si>
    <t>Hourly Undergraduate Students</t>
  </si>
  <si>
    <t>NA mult</t>
  </si>
  <si>
    <t>fringe rate</t>
  </si>
  <si>
    <t>ifna</t>
  </si>
  <si>
    <t>rate to use</t>
  </si>
  <si>
    <t>Total Direct Cost Period 1</t>
  </si>
  <si>
    <t>Total F&amp;A Period 1</t>
  </si>
  <si>
    <t xml:space="preserve">Cost </t>
  </si>
  <si>
    <t>Airfare (RT)</t>
  </si>
  <si>
    <t xml:space="preserve">Lodging  </t>
  </si>
  <si>
    <t>Travel Per Diem (75%)</t>
  </si>
  <si>
    <t xml:space="preserve">100% Per Diem  </t>
  </si>
  <si>
    <t>Destination</t>
  </si>
  <si>
    <t>Travel Estimates (optional)</t>
  </si>
  <si>
    <t># of trips</t>
  </si>
  <si>
    <t># of travelers</t>
  </si>
  <si>
    <t>Travelers:</t>
  </si>
  <si>
    <t>Item</t>
  </si>
  <si>
    <t>Ground Transportation</t>
  </si>
  <si>
    <t>Domestic -  https://www.gsa.gov/travel/plan-book/per-diem-rates</t>
  </si>
  <si>
    <t>Foreign - https://aoprals.state.gov/web920/per_diem.asp</t>
  </si>
  <si>
    <t>Total Domestic</t>
  </si>
  <si>
    <t>Total Foreign</t>
  </si>
  <si>
    <t>From Travel Estimate Tab (if completed)</t>
  </si>
  <si>
    <t>Cost Per Item</t>
  </si>
  <si>
    <t>Quantity</t>
  </si>
  <si>
    <t>Cost Per Trip</t>
  </si>
  <si>
    <t># of Trips</t>
  </si>
  <si>
    <t>w/out F&amp;A</t>
  </si>
  <si>
    <t>Annual Cost</t>
  </si>
  <si>
    <t># of Participants</t>
  </si>
  <si>
    <t># of Hours</t>
  </si>
  <si>
    <t>Summer Salary Resource</t>
  </si>
  <si>
    <t>Standard Options:</t>
  </si>
  <si>
    <t>65 Days</t>
  </si>
  <si>
    <t>60 Days</t>
  </si>
  <si>
    <t>55 Days</t>
  </si>
  <si>
    <t>50 Days</t>
  </si>
  <si>
    <t>2 Months</t>
  </si>
  <si>
    <t>46 Days</t>
  </si>
  <si>
    <t>45 Days</t>
  </si>
  <si>
    <t>40 Days</t>
  </si>
  <si>
    <t>35 Days</t>
  </si>
  <si>
    <t>1.5 Months</t>
  </si>
  <si>
    <t>34.5 Days</t>
  </si>
  <si>
    <t>30 Days</t>
  </si>
  <si>
    <t>25 Days</t>
  </si>
  <si>
    <t>1 Month</t>
  </si>
  <si>
    <t>23 Days</t>
  </si>
  <si>
    <t>20 Days</t>
  </si>
  <si>
    <t>15 Days</t>
  </si>
  <si>
    <t>.5 Months</t>
  </si>
  <si>
    <t>11.5 Days</t>
  </si>
  <si>
    <t>10 Days</t>
  </si>
  <si>
    <t>.25 Months</t>
  </si>
  <si>
    <t>5.75 Days</t>
  </si>
  <si>
    <t>5 Days</t>
  </si>
  <si>
    <t>1 Day</t>
  </si>
  <si>
    <t>2.5 Months</t>
  </si>
  <si>
    <t>57.5 Days</t>
  </si>
  <si>
    <t>.75 Months</t>
  </si>
  <si>
    <t>17.25 Days</t>
  </si>
  <si>
    <t>Days to Enter in Summer Days Field</t>
  </si>
  <si>
    <t>Equivalent Person Months</t>
  </si>
  <si>
    <t>AY/9 Month Personnel may also receive Summer Pay.  To calculate summer pay on the Personnel Tab, enter the number of days the person should be paid.  Per University policy, the maximum number of days a 9 Month/AY person may be paid is 65 days.  1 month is equivalent to 23 days.  This would be days paid, NOT the number of days in the month.</t>
  </si>
  <si>
    <t>2021 Fee Remit Rates =$910 per month for more than 9 months, $933.34 per month for 9 month</t>
  </si>
  <si>
    <t># of Students</t>
  </si>
  <si>
    <t>hr/year=&gt;</t>
  </si>
  <si>
    <t>Student/s</t>
  </si>
  <si>
    <t xml:space="preserve">F&amp;A </t>
  </si>
  <si>
    <t>RESEARCH</t>
  </si>
  <si>
    <t>TESTING</t>
  </si>
  <si>
    <t>EXTENSION</t>
  </si>
  <si>
    <t>MTDC Exclusions</t>
  </si>
  <si>
    <t>Total Exclusion</t>
  </si>
  <si>
    <t>Total Direct</t>
  </si>
  <si>
    <t>MTDC Base</t>
  </si>
  <si>
    <t>Total F&amp;A</t>
  </si>
  <si>
    <t>INDUSTRIAL</t>
  </si>
  <si>
    <t>Fee Remits are automatically calculated when grad effort is selected.</t>
  </si>
  <si>
    <t>Project Type:</t>
  </si>
  <si>
    <t>Purpose</t>
  </si>
  <si>
    <t>Indirects Costs-MTDC</t>
  </si>
  <si>
    <t>Prof/Admin</t>
  </si>
  <si>
    <t>Total Salaries, Wages and Fringe Benefits</t>
  </si>
  <si>
    <t>TBD Undergrad</t>
  </si>
  <si>
    <t>Service</t>
  </si>
  <si>
    <t>9 Month Personnel (Faculty, PostDoc, Prof/Admin, Clerical, Service)</t>
  </si>
  <si>
    <t>12 Month Personnel (Faculty, PostDoc, Prof/Admin, Clerical, Service)</t>
  </si>
  <si>
    <t>included above</t>
  </si>
  <si>
    <t>Total Cost for this Destination</t>
  </si>
  <si>
    <t>Length of Trip</t>
  </si>
  <si>
    <t>Nights Lodging</t>
  </si>
  <si>
    <t># of Subjects</t>
  </si>
  <si>
    <t>Human Subjects</t>
  </si>
  <si>
    <t>Animal Expenses</t>
  </si>
  <si>
    <t>provide details of Animal activity</t>
  </si>
  <si>
    <t>provide details of Human Subject activity</t>
  </si>
  <si>
    <t># of Items</t>
  </si>
  <si>
    <t>Cost per Item</t>
  </si>
  <si>
    <t>Registration</t>
  </si>
  <si>
    <t>proj</t>
  </si>
  <si>
    <t>person</t>
  </si>
  <si>
    <t>Number of FY Months Remaining based on start date</t>
  </si>
  <si>
    <t>Max months available when the person start is later than period start</t>
  </si>
  <si>
    <t>Max. months if pay start is later than project start</t>
  </si>
  <si>
    <t>Max Month Avail</t>
  </si>
  <si>
    <t>FY months before start first year only</t>
  </si>
  <si>
    <t>AY Mo. B4 Start</t>
  </si>
  <si>
    <t>Max Summer Days</t>
  </si>
  <si>
    <t>Summer Request</t>
  </si>
  <si>
    <t>Max Summer</t>
  </si>
  <si>
    <t>Summer Max</t>
  </si>
  <si>
    <t>Monthly Rate (50%)</t>
  </si>
  <si>
    <t>Half Time (50%) Monthly Rate</t>
  </si>
  <si>
    <t xml:space="preserve">Cost per </t>
  </si>
  <si>
    <t>Cost per</t>
  </si>
  <si>
    <t># of Consultants</t>
  </si>
  <si>
    <t>Total Cost to Project w/F&amp;A</t>
  </si>
  <si>
    <t>Total Cost per Item w/F&amp;A</t>
  </si>
  <si>
    <t>25% Sum</t>
  </si>
  <si>
    <t>50% Sum</t>
  </si>
  <si>
    <t>August</t>
  </si>
  <si>
    <t xml:space="preserve">AY months before start second FY year </t>
  </si>
  <si>
    <t>Summer Available this FY</t>
  </si>
  <si>
    <t>Summer Available Second FY Yes/No</t>
  </si>
  <si>
    <t>sum days to mo.</t>
  </si>
  <si>
    <t>Other Direct Costs - Excluded from F&amp;A Base - no overhead</t>
  </si>
  <si>
    <t>AY Mo Avail</t>
  </si>
  <si>
    <t>Mo in FY</t>
  </si>
  <si>
    <t xml:space="preserve">7/1/21 Base Salary </t>
  </si>
  <si>
    <t>Total Months of Remits</t>
  </si>
  <si>
    <t>Remit Mo Left</t>
  </si>
  <si>
    <t>Sal Y/N</t>
  </si>
  <si>
    <t xml:space="preserve">FY months available second FY </t>
  </si>
  <si>
    <t>12 MONTH</t>
  </si>
  <si>
    <t>SUMMER</t>
  </si>
  <si>
    <t xml:space="preserve">Personnel </t>
  </si>
  <si>
    <t>Months in Period 2</t>
  </si>
  <si>
    <t>Start Mo</t>
  </si>
  <si>
    <t>period 1</t>
  </si>
  <si>
    <t>period 2</t>
  </si>
  <si>
    <t>Total Direct Cost Period 2</t>
  </si>
  <si>
    <t>Total F&amp;A Period 2</t>
  </si>
  <si>
    <t>Total Project Cost Period 2</t>
  </si>
  <si>
    <t>Months Paid Period 2</t>
  </si>
  <si>
    <t>Months Paid Per 2</t>
  </si>
  <si>
    <t>Period 2</t>
  </si>
  <si>
    <t>2023</t>
  </si>
  <si>
    <t>Mo in PP2</t>
  </si>
  <si>
    <t>Non Pay Mo. In FY22</t>
  </si>
  <si>
    <t>Non Pay Mo. In FY23</t>
  </si>
  <si>
    <t>Mo in FY 25</t>
  </si>
  <si>
    <t>FY25 Salary</t>
  </si>
  <si>
    <t>Project Start Table</t>
  </si>
  <si>
    <t xml:space="preserve">Fill in the yellow fields only.  Start Date and Month are only required in Period 1.  Number of months is required in each Period.  Once complete, proceed to the Personnel and Other Direct Costs Tabs.  </t>
  </si>
  <si>
    <t>AY Salary 7/1/21</t>
  </si>
  <si>
    <t>FY Salary 7/1/21</t>
  </si>
  <si>
    <t>Mo Left in AY 25</t>
  </si>
  <si>
    <t>FY 25 Mo</t>
  </si>
  <si>
    <t>Sum  Days FY23</t>
  </si>
  <si>
    <t>Sum Days FY24</t>
  </si>
  <si>
    <t>Sum  Days FY24</t>
  </si>
  <si>
    <t>Sum Days FY25</t>
  </si>
  <si>
    <t>Sum  Days FY25</t>
  </si>
  <si>
    <t>Sum Days FY26</t>
  </si>
  <si>
    <t>Sum  Days FY26</t>
  </si>
  <si>
    <t>FY26 Salary</t>
  </si>
  <si>
    <r>
      <t xml:space="preserve">This worksheet will only calculate up to </t>
    </r>
    <r>
      <rPr>
        <b/>
        <u/>
        <sz val="10"/>
        <rFont val="Calibri"/>
        <family val="2"/>
        <scheme val="minor"/>
      </rPr>
      <t>12 months</t>
    </r>
    <r>
      <rPr>
        <b/>
        <sz val="10"/>
        <rFont val="Calibri"/>
        <family val="2"/>
        <scheme val="minor"/>
      </rPr>
      <t xml:space="preserve"> per budget period and limits the start date to the 1st of the month. </t>
    </r>
  </si>
  <si>
    <t>PERIOD 1</t>
  </si>
  <si>
    <t>PERIOD 2</t>
  </si>
  <si>
    <t>AY 23 Mo Avail</t>
  </si>
  <si>
    <t>Mo Left in AY 26</t>
  </si>
  <si>
    <t>FY 26 Mo</t>
  </si>
  <si>
    <t>Mo in FY 26</t>
  </si>
  <si>
    <t xml:space="preserve">Max. months </t>
  </si>
  <si>
    <t>Max Months</t>
  </si>
  <si>
    <t>9 Mo. Persons (Faculty, PostDoc, Prof/Admin, Clerical, Service)</t>
  </si>
  <si>
    <t>12 Mo. Persons (Faculty, PostDoc, Prof/Admin, Clerical, Service)</t>
  </si>
  <si>
    <t xml:space="preserve">12 Mo. Grad Student or 9 Mo. Grad Student </t>
  </si>
  <si>
    <t>Subawards</t>
  </si>
  <si>
    <t>Year 1</t>
  </si>
  <si>
    <t>Year 2</t>
  </si>
  <si>
    <t>Year 3</t>
  </si>
  <si>
    <t>#1</t>
  </si>
  <si>
    <t>#2</t>
  </si>
  <si>
    <t>#3</t>
  </si>
  <si>
    <t>*This version of the budget tool is not intended for Cost Share, USDA or NIH proposals.  As the tool evolves, a version for USDA and NIH proposals with Modular budgets and Salary Cap will be developed.</t>
  </si>
  <si>
    <t>NOTES:</t>
  </si>
  <si>
    <t>Project Title</t>
  </si>
  <si>
    <t>period 3</t>
  </si>
  <si>
    <t>End Month</t>
  </si>
  <si>
    <t>Total Months Paid</t>
  </si>
  <si>
    <t>AY Months</t>
  </si>
  <si>
    <t>Addl 25%</t>
  </si>
  <si>
    <t>appt</t>
  </si>
  <si>
    <t>If this is a 25% grad, will they have an additional 25% appointment?</t>
  </si>
  <si>
    <t>Additional 25% appointment?</t>
  </si>
  <si>
    <t>Months in Period 3</t>
  </si>
  <si>
    <t>Length of Project</t>
  </si>
  <si>
    <t>Total Direct Cost Period 3</t>
  </si>
  <si>
    <t>Total F&amp;A Period 3</t>
  </si>
  <si>
    <t>Total Project Cost Period 3</t>
  </si>
  <si>
    <t>Months Paid Period 3</t>
  </si>
  <si>
    <t>Months Paid Per 3</t>
  </si>
  <si>
    <t>Period 3</t>
  </si>
  <si>
    <t>PERIOD 3</t>
  </si>
  <si>
    <t>Months Period 2</t>
  </si>
  <si>
    <t>Months Period 3</t>
  </si>
  <si>
    <t>Months Period 1</t>
  </si>
  <si>
    <t xml:space="preserve">End Date </t>
  </si>
  <si>
    <t xml:space="preserve">Oct </t>
  </si>
  <si>
    <t>FY grads that are only paid in summer or for a semester, grads will only calculate from the 1st of a month.  If you only want to pay summer, select June and 3 months, not May.</t>
  </si>
  <si>
    <t>Include summer months even though they are not being paid summer if an AY appt.   Example, if paid AY from Mar-Sept, enter 7 months.</t>
  </si>
  <si>
    <t>1/2 months are not allowed.  Pay calculations will start on the first of a month unless it is an AY appt. starting in August.</t>
  </si>
  <si>
    <t>2024</t>
  </si>
  <si>
    <t>in per vs avail</t>
  </si>
  <si>
    <t>Subcontracts - F&amp;A is charged on the 1st $25,000 of each sub.  This is auto calculated.</t>
  </si>
  <si>
    <t>total</t>
  </si>
  <si>
    <t>without F&amp;A</t>
  </si>
  <si>
    <t>No</t>
  </si>
  <si>
    <t>Total</t>
  </si>
  <si>
    <t>Senior Personnel</t>
  </si>
  <si>
    <t>Graduate Students</t>
  </si>
  <si>
    <t>Undergraduate Students</t>
  </si>
  <si>
    <t>Students</t>
  </si>
  <si>
    <t>Total Personnel</t>
  </si>
  <si>
    <t>Purdue University</t>
  </si>
  <si>
    <t>Total Indirect Costs</t>
  </si>
  <si>
    <t>Total Cost to Sponsor</t>
  </si>
  <si>
    <t>General Instructions:</t>
  </si>
  <si>
    <t>1. DO NOT SEND TO SPONSORS</t>
  </si>
  <si>
    <t>3. Detailed instructions for specific fields can be found on each tab where the red comment triangles appear near those cells.</t>
  </si>
  <si>
    <t>6. If annual base salary is unknown, contact Pre-Award for assistance.</t>
  </si>
  <si>
    <t>7. A Travel Estimate sheet is provided as an optional resource to guide in creating a detailed travel budget.</t>
  </si>
  <si>
    <t>8. Resource tabs are also included to provide summer salary information (conversions for days to include) as well as grad and post doc rates.</t>
  </si>
  <si>
    <t xml:space="preserve">NOTES:  </t>
  </si>
  <si>
    <t>*This version of the budget tool is not intended for USDA or NIH proposals.  As the tool evolves, a version for USDA and NIH proposals with Modular budgets and Salary Cap will be developed.</t>
  </si>
  <si>
    <r>
      <t xml:space="preserve">Comments/Questions/Feedback?  Email </t>
    </r>
    <r>
      <rPr>
        <u/>
        <sz val="11"/>
        <color rgb="FF0070C0"/>
        <rFont val="Calibri"/>
        <family val="2"/>
        <scheme val="minor"/>
      </rPr>
      <t>proposalbudget@purdue.edu</t>
    </r>
    <r>
      <rPr>
        <sz val="11"/>
        <color rgb="FF000000"/>
        <rFont val="Calibri"/>
        <family val="2"/>
        <scheme val="minor"/>
      </rPr>
      <t>.</t>
    </r>
  </si>
  <si>
    <t xml:space="preserve">        FY grads that are only paid in summer or for a semester, grads will only calculate from the 1st of a month.  If you only want to pay summer, select June and 3 months, not May.</t>
  </si>
  <si>
    <t xml:space="preserve">        Include summer months even though they are not being paid summer if an AY appt.   Example, if paid AY from Mar-Sept, enter 7 months.</t>
  </si>
  <si>
    <t xml:space="preserve">        1/2 months are not allowed.  Pay calculations will start on the first of a month unless it is an AY appt. starting in August.</t>
  </si>
  <si>
    <t>This is a minimum departmental rate.  The PI may choose to budget at a higher rate.</t>
  </si>
  <si>
    <t>Graduate Student - as of 7/1/2021</t>
  </si>
  <si>
    <t>Post Doc - as of 7/1/2021</t>
  </si>
  <si>
    <t>This is a maximum departmental rate.  The PI may choose to budget at a lower rate.</t>
  </si>
  <si>
    <t xml:space="preserve">No F&amp;A </t>
  </si>
  <si>
    <t>Cumulative Totals</t>
  </si>
  <si>
    <t>Direct Costs</t>
  </si>
  <si>
    <t>Indirect Costs</t>
  </si>
  <si>
    <t>Total Budget</t>
  </si>
  <si>
    <t>where traveling to?</t>
  </si>
  <si>
    <t>names of travelers?</t>
  </si>
  <si>
    <t>purpose of trip?</t>
  </si>
  <si>
    <t>item</t>
  </si>
  <si>
    <t>purpose</t>
  </si>
  <si>
    <t>activity</t>
  </si>
  <si>
    <t>publication</t>
  </si>
  <si>
    <t>name</t>
  </si>
  <si>
    <t>Recharge name</t>
  </si>
  <si>
    <t>sub name</t>
  </si>
  <si>
    <t>contact</t>
  </si>
  <si>
    <t>Provide Other Direct Cost Information in the Yellow Fields. Periods 2 &amp; 3 should automatically match Period 1 unless it manually changed.</t>
  </si>
  <si>
    <t xml:space="preserve">Enter Estimates of travel costs to assist with completing Other Direct Costs Tab. Periods 2 &amp; 3 should automatically match </t>
  </si>
  <si>
    <t>Period 1 unless it manually changed.     Lodging and PerDiem (M&amp;IE) Rates can be found on the following websites.</t>
  </si>
  <si>
    <t>Complete the yellow fields for each individual. Periods 2 &amp; 3 should automatically match Period 1 unless it manually changed.</t>
  </si>
  <si>
    <t>To assist with grad or postdoc rates, a table of is included on the 'Grad PostDocDeptPayRates' tab.</t>
  </si>
  <si>
    <r>
      <t>2. Be sure to</t>
    </r>
    <r>
      <rPr>
        <sz val="11"/>
        <color rgb="FFFF0000"/>
        <rFont val="Calibri"/>
        <family val="2"/>
        <scheme val="minor"/>
      </rPr>
      <t xml:space="preserve"> </t>
    </r>
    <r>
      <rPr>
        <b/>
        <u/>
        <sz val="11"/>
        <color rgb="FFFF0000"/>
        <rFont val="Calibri"/>
        <family val="2"/>
        <scheme val="minor"/>
      </rPr>
      <t>download a new version</t>
    </r>
    <r>
      <rPr>
        <sz val="11"/>
        <color rgb="FF000000"/>
        <rFont val="Calibri"/>
        <family val="2"/>
        <scheme val="minor"/>
      </rPr>
      <t xml:space="preserve"> for each budget as we are continually improving and updating the tool.  Formulas may change and rates could be updated.</t>
    </r>
  </si>
  <si>
    <t>5. Continue by completing the Personnel and Other Direct Costs sheets.  **The Box app may cause each sheet to need to be aligned on the screen.  Scroll all the way to the left and to the top to start.**</t>
  </si>
  <si>
    <t>4. Start by selecting research, testing or no F&amp;A, then completing the Yellow fields on the Budget Summary sheet.</t>
  </si>
  <si>
    <r>
      <t xml:space="preserve">List purpose of trips                                    </t>
    </r>
    <r>
      <rPr>
        <b/>
        <sz val="10"/>
        <color theme="1"/>
        <rFont val="Calibri"/>
        <family val="2"/>
        <scheme val="minor"/>
      </rPr>
      <t xml:space="preserve">-OR-                           </t>
    </r>
    <r>
      <rPr>
        <sz val="10"/>
        <color theme="1"/>
        <rFont val="Calibri"/>
        <family val="2"/>
        <scheme val="minor"/>
      </rPr>
      <t xml:space="preserve">Complete the Travel Estimate Tab </t>
    </r>
  </si>
  <si>
    <t>Non Purdue Employee participating for educational purposes</t>
  </si>
  <si>
    <t>provide description of cost - PreAward will verify that cost should be excluded from F&amp;A.</t>
  </si>
  <si>
    <t>Cost of Subcontract</t>
  </si>
  <si>
    <t>Cost Period 3</t>
  </si>
  <si>
    <t>Cost Period 2</t>
  </si>
  <si>
    <t>Cost Period 1</t>
  </si>
  <si>
    <t>new rate starts July of year indicated</t>
  </si>
  <si>
    <t>Mathematics Graduate Student</t>
  </si>
  <si>
    <t>Mathematics Post Doc</t>
  </si>
  <si>
    <t>For Grad Students - Budget tool may not accommodate the payroll actions for this School. Contact  your Pre-Award Specialist.</t>
  </si>
  <si>
    <t>School</t>
  </si>
  <si>
    <r>
      <rPr>
        <b/>
        <sz val="11"/>
        <color theme="1"/>
        <rFont val="Calibri"/>
        <family val="2"/>
        <scheme val="minor"/>
      </rPr>
      <t>College of Science Graduate Students:</t>
    </r>
    <r>
      <rPr>
        <sz val="11"/>
        <color theme="1"/>
        <rFont val="Calibri"/>
        <family val="2"/>
        <scheme val="minor"/>
      </rPr>
      <t xml:space="preserve">  This budget tool may not accommodate the AY/Summer graduate student payroll actions for Colle of Science Schools.  The tool will only calculate 25% or 50% for 3 months of summer effort.  If you need to something different,  you will need to contact your Pre-Award Specialist.</t>
    </r>
  </si>
  <si>
    <t>2025</t>
  </si>
  <si>
    <t>Industrial Engineering MS</t>
  </si>
  <si>
    <t>Industrial Engineering PhD</t>
  </si>
  <si>
    <t>Public Health</t>
  </si>
  <si>
    <t>Horticulture MS</t>
  </si>
  <si>
    <t>Horticulture PhD</t>
  </si>
  <si>
    <t xml:space="preserve">FY </t>
  </si>
  <si>
    <t>Engineering Administration MS</t>
  </si>
  <si>
    <t>Engineering Administration PhD</t>
  </si>
  <si>
    <t>Aero &amp; Astro PhD</t>
  </si>
  <si>
    <t>Aero &amp; Astro MS</t>
  </si>
  <si>
    <t>Engineering Projects in Community Schools MS</t>
  </si>
  <si>
    <t>Engineering Projects in Community Schools PhD</t>
  </si>
  <si>
    <t>Environmental and Ecological Engineering MS</t>
  </si>
  <si>
    <t>Environmental and Ecological Engineering PhD</t>
  </si>
  <si>
    <t>Global Engineering MS</t>
  </si>
  <si>
    <t>Global Engineering PhD</t>
  </si>
  <si>
    <t>updated 11/10/2022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</si>
</sst>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0.0"/>
    <numFmt numFmtId="168" formatCode="_(* #,##0.0_);_(* \(#,##0.0\);_(* &quot;-&quot;?_);_(@_)"/>
    <numFmt numFmtId="169" formatCode="0.000"/>
    <numFmt numFmtId="170" formatCode="0.0000"/>
    <numFmt numFmtId="171" formatCode="_(* #,##0.000_);_(* \(#,##0.000\);_(* &quot;-&quot;??_);_(@_)"/>
    <numFmt numFmtId="172" formatCode="0.0%"/>
    <numFmt numFmtId="173" formatCode="_(* #,##0.0000_);_(* \(#,##0.0000\);_(* &quot;-&quot;??_);_(@_)"/>
    <numFmt numFmtId="174" formatCode="_(* #,##0.000_);_(* \(#,##0.000\);_(* &quot;-&quot;?_);_(@_)"/>
    <numFmt numFmtId="175" formatCode="0.00000"/>
    <numFmt numFmtId="176" formatCode="_([$$-409]* #,##0.00_);_([$$-409]* \(#,##0.00\);_([$$-409]* &quot;-&quot;??_);_(@_)"/>
  </numFmts>
  <fonts count="66"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4"/>
      <name val="Calibri"/>
      <family val="2"/>
      <scheme val="minor"/>
    </font>
    <font>
      <sz val="12"/>
      <name val="Calibri"/>
      <family val="2"/>
      <scheme val="minor"/>
    </font>
    <font>
      <b/>
      <sz val="11"/>
      <name val="Calibri"/>
      <family val="2"/>
      <scheme val="minor"/>
    </font>
    <font>
      <i/>
      <sz val="10"/>
      <name val="Calibri"/>
      <family val="2"/>
      <scheme val="minor"/>
    </font>
    <font>
      <b/>
      <u/>
      <sz val="11"/>
      <name val="Calibri"/>
      <family val="2"/>
      <scheme val="minor"/>
    </font>
    <font>
      <u/>
      <sz val="11"/>
      <name val="Calibri"/>
      <family val="2"/>
      <scheme val="minor"/>
    </font>
    <font>
      <u/>
      <sz val="8"/>
      <name val="Calibri"/>
      <family val="2"/>
      <scheme val="minor"/>
    </font>
    <font>
      <sz val="6"/>
      <name val="Calibri"/>
      <family val="2"/>
      <scheme val="minor"/>
    </font>
    <font>
      <u/>
      <sz val="6"/>
      <name val="Calibri"/>
      <family val="2"/>
      <scheme val="minor"/>
    </font>
    <font>
      <b/>
      <u/>
      <sz val="10"/>
      <name val="Calibri"/>
      <family val="2"/>
      <scheme val="minor"/>
    </font>
    <font>
      <b/>
      <u/>
      <sz val="8"/>
      <name val="Calibri"/>
      <family val="2"/>
      <scheme val="minor"/>
    </font>
    <font>
      <u/>
      <sz val="1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b/>
      <sz val="16"/>
      <name val="Calibri"/>
      <family val="2"/>
      <scheme val="minor"/>
    </font>
    <font>
      <sz val="10"/>
      <name val="Calibri"/>
      <family val="2"/>
      <scheme val="minor"/>
    </font>
    <font>
      <b/>
      <sz val="10"/>
      <name val="Calibri"/>
      <family val="2"/>
      <scheme val="minor"/>
    </font>
    <font>
      <b/>
      <sz val="12"/>
      <color rgb="FFFF0000"/>
      <name val="Calibri"/>
      <family val="2"/>
      <scheme val="minor"/>
    </font>
    <font>
      <b/>
      <sz val="14"/>
      <color theme="1"/>
      <name val="Calibri"/>
      <family val="2"/>
      <scheme val="minor"/>
    </font>
    <font>
      <b/>
      <sz val="14"/>
      <color rgb="FFFF0000"/>
      <name val="Calibri"/>
      <family val="2"/>
      <scheme val="minor"/>
    </font>
    <font>
      <b/>
      <sz val="12"/>
      <color theme="1"/>
      <name val="Calibri"/>
      <family val="2"/>
      <scheme val="minor"/>
    </font>
    <font>
      <b/>
      <sz val="16"/>
      <color theme="1"/>
      <name val="Calibri"/>
      <family val="2"/>
      <scheme val="minor"/>
    </font>
    <font>
      <sz val="12"/>
      <color rgb="FFFF0000"/>
      <name val="Calibri"/>
      <family val="2"/>
      <scheme val="minor"/>
    </font>
    <font>
      <sz val="11"/>
      <color rgb="FF0070C0"/>
      <name val="Calibri"/>
      <family val="2"/>
      <scheme val="minor"/>
    </font>
    <font>
      <u/>
      <sz val="11"/>
      <color rgb="FF0070C0"/>
      <name val="Calibri"/>
      <family val="2"/>
      <scheme val="minor"/>
    </font>
    <font>
      <u/>
      <sz val="11"/>
      <color theme="10"/>
      <name val="Calibri"/>
      <family val="2"/>
      <scheme val="minor"/>
    </font>
    <font>
      <sz val="11"/>
      <color rgb="FFFF0000"/>
      <name val="Calibri"/>
      <family val="2"/>
      <scheme val="minor"/>
    </font>
    <font>
      <b/>
      <sz val="10"/>
      <color theme="1"/>
      <name val="Calibri"/>
      <family val="2"/>
      <scheme val="minor"/>
    </font>
    <font>
      <b/>
      <i/>
      <sz val="10"/>
      <color theme="1"/>
      <name val="Calibri"/>
      <family val="2"/>
      <scheme val="minor"/>
    </font>
    <font>
      <b/>
      <u/>
      <sz val="10"/>
      <color theme="1"/>
      <name val="Calibri"/>
      <family val="2"/>
      <scheme val="minor"/>
    </font>
    <font>
      <b/>
      <sz val="15"/>
      <color theme="1"/>
      <name val="Calibri"/>
      <family val="2"/>
      <scheme val="minor"/>
    </font>
    <font>
      <sz val="9"/>
      <color indexed="81"/>
      <name val="Tahoma"/>
      <family val="2"/>
    </font>
    <font>
      <b/>
      <sz val="9"/>
      <color theme="1"/>
      <name val="Calibri"/>
      <family val="2"/>
      <scheme val="minor"/>
    </font>
    <font>
      <b/>
      <sz val="11"/>
      <color rgb="FFFF0000"/>
      <name val="Calibri"/>
      <family val="2"/>
      <scheme val="minor"/>
    </font>
    <font>
      <sz val="9"/>
      <name val="Calibri"/>
      <family val="2"/>
      <scheme val="minor"/>
    </font>
    <font>
      <sz val="10"/>
      <name val="Arial"/>
      <family val="2"/>
    </font>
    <font>
      <sz val="14"/>
      <color theme="1"/>
      <name val="Calibri"/>
      <family val="2"/>
      <scheme val="minor"/>
    </font>
    <font>
      <b/>
      <u/>
      <sz val="10"/>
      <color rgb="FFFF0000"/>
      <name val="Calibri"/>
      <family val="2"/>
      <scheme val="minor"/>
    </font>
    <font>
      <u/>
      <sz val="8"/>
      <color rgb="FFFF0000"/>
      <name val="Calibri"/>
      <family val="2"/>
      <scheme val="minor"/>
    </font>
    <font>
      <sz val="9"/>
      <color rgb="FFFF0000"/>
      <name val="Calibri"/>
      <family val="2"/>
      <scheme val="minor"/>
    </font>
    <font>
      <sz val="10"/>
      <color rgb="FFFF0000"/>
      <name val="Calibri"/>
      <family val="2"/>
      <scheme val="minor"/>
    </font>
    <font>
      <u/>
      <sz val="10"/>
      <color theme="1"/>
      <name val="Calibri"/>
      <family val="2"/>
      <scheme val="minor"/>
    </font>
    <font>
      <b/>
      <sz val="10"/>
      <color rgb="FFFF0000"/>
      <name val="Calibri"/>
      <family val="2"/>
      <scheme val="minor"/>
    </font>
    <font>
      <u/>
      <sz val="8"/>
      <color theme="1"/>
      <name val="Calibri"/>
      <family val="2"/>
      <scheme val="minor"/>
    </font>
    <font>
      <b/>
      <sz val="11"/>
      <color rgb="FF00B0F0"/>
      <name val="Calibri"/>
      <family val="2"/>
      <scheme val="minor"/>
    </font>
    <font>
      <sz val="11"/>
      <color rgb="FF00B0F0"/>
      <name val="Calibri"/>
      <family val="2"/>
      <scheme val="minor"/>
    </font>
    <font>
      <sz val="8"/>
      <name val="Calibri"/>
      <family val="2"/>
      <scheme val="minor"/>
    </font>
    <font>
      <sz val="8"/>
      <color theme="1"/>
      <name val="Calibri"/>
      <family val="2"/>
      <scheme val="minor"/>
    </font>
    <font>
      <sz val="11"/>
      <color rgb="FF00B050"/>
      <name val="Calibri"/>
      <family val="2"/>
      <scheme val="minor"/>
    </font>
    <font>
      <sz val="16"/>
      <name val="Calibri"/>
      <family val="2"/>
      <scheme val="minor"/>
    </font>
    <font>
      <b/>
      <sz val="16"/>
      <color rgb="FFFF0000"/>
      <name val="Calibri"/>
      <family val="2"/>
      <scheme val="minor"/>
    </font>
    <font>
      <u val="singleAccounting"/>
      <sz val="10"/>
      <color theme="1"/>
      <name val="Calibri"/>
      <family val="2"/>
      <scheme val="minor"/>
    </font>
    <font>
      <b/>
      <u val="doubleAccounting"/>
      <sz val="10"/>
      <color theme="1"/>
      <name val="Calibri"/>
      <family val="2"/>
      <scheme val="minor"/>
    </font>
    <font>
      <u val="doubleAccounting"/>
      <sz val="10"/>
      <color theme="1"/>
      <name val="Calibri"/>
      <family val="2"/>
      <scheme val="minor"/>
    </font>
    <font>
      <b/>
      <u/>
      <sz val="12"/>
      <color rgb="FF000000"/>
      <name val="Calibri"/>
      <family val="2"/>
      <scheme val="minor"/>
    </font>
    <font>
      <sz val="11"/>
      <color rgb="FF000000"/>
      <name val="Calibri"/>
      <family val="2"/>
      <scheme val="minor"/>
    </font>
    <font>
      <b/>
      <sz val="11"/>
      <color rgb="FF000000"/>
      <name val="Calibri"/>
      <family val="2"/>
      <scheme val="minor"/>
    </font>
    <font>
      <b/>
      <u/>
      <sz val="12"/>
      <color theme="1"/>
      <name val="Calibri"/>
      <family val="2"/>
      <scheme val="minor"/>
    </font>
    <font>
      <b/>
      <u/>
      <sz val="11"/>
      <color rgb="FFFF0000"/>
      <name val="Calibri"/>
      <family val="2"/>
      <scheme val="minor"/>
    </font>
    <font>
      <sz val="10"/>
      <color rgb="FF0070C0"/>
      <name val="Calibri"/>
      <family val="2"/>
      <scheme val="minor"/>
    </font>
  </fonts>
  <fills count="30">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BD94C4"/>
        <bgColor indexed="64"/>
      </patternFill>
    </fill>
    <fill>
      <patternFill patternType="solid">
        <fgColor rgb="FFDEC9E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8" tint="0.79998168889431442"/>
        <bgColor indexed="64"/>
      </patternFill>
    </fill>
  </fills>
  <borders count="7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rgb="FFFF0000"/>
      </right>
      <top/>
      <bottom style="medium">
        <color indexed="64"/>
      </bottom>
      <diagonal/>
    </border>
    <border>
      <left/>
      <right style="medium">
        <color rgb="FFFF0000"/>
      </right>
      <top/>
      <bottom/>
      <diagonal/>
    </border>
    <border>
      <left/>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rgb="FFFF0000"/>
      </bottom>
      <diagonal/>
    </border>
    <border>
      <left/>
      <right style="thin">
        <color rgb="FFFF0000"/>
      </right>
      <top/>
      <bottom style="thin">
        <color rgb="FFFF0000"/>
      </bottom>
      <diagonal/>
    </border>
    <border>
      <left/>
      <right/>
      <top/>
      <bottom style="thin">
        <color rgb="FFFF0000"/>
      </bottom>
      <diagonal/>
    </border>
    <border>
      <left/>
      <right style="medium">
        <color rgb="FFFF0000"/>
      </right>
      <top/>
      <bottom style="thin">
        <color rgb="FFFF0000"/>
      </bottom>
      <diagonal/>
    </border>
    <border>
      <left style="medium">
        <color rgb="FFFF0000"/>
      </left>
      <right/>
      <top/>
      <bottom/>
      <diagonal/>
    </border>
    <border>
      <left/>
      <right style="thin">
        <color rgb="FFFF0000"/>
      </right>
      <top/>
      <bottom/>
      <diagonal/>
    </border>
    <border>
      <left style="medium">
        <color rgb="FFFF0000"/>
      </left>
      <right/>
      <top/>
      <bottom style="medium">
        <color rgb="FFFF0000"/>
      </bottom>
      <diagonal/>
    </border>
    <border>
      <left/>
      <right style="thin">
        <color rgb="FFFF0000"/>
      </right>
      <top/>
      <bottom style="medium">
        <color rgb="FFFF0000"/>
      </bottom>
      <diagonal/>
    </border>
    <border>
      <left/>
      <right style="medium">
        <color rgb="FFFF0000"/>
      </right>
      <top/>
      <bottom style="medium">
        <color rgb="FFFF0000"/>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44" fontId="41" fillId="0" borderId="0" applyFont="0" applyFill="0" applyBorder="0" applyAlignment="0" applyProtection="0"/>
  </cellStyleXfs>
  <cellXfs count="1287">
    <xf numFmtId="0" fontId="0" fillId="0" borderId="0" xfId="0"/>
    <xf numFmtId="0" fontId="3" fillId="0" borderId="0" xfId="0" applyFont="1"/>
    <xf numFmtId="0" fontId="2" fillId="0" borderId="0" xfId="0" applyFont="1"/>
    <xf numFmtId="0" fontId="0" fillId="0" borderId="0" xfId="0" applyFont="1"/>
    <xf numFmtId="167" fontId="0" fillId="0" borderId="0" xfId="0" applyNumberFormat="1"/>
    <xf numFmtId="49" fontId="0" fillId="0" borderId="0" xfId="0" applyNumberFormat="1"/>
    <xf numFmtId="14" fontId="0" fillId="0" borderId="0" xfId="0" applyNumberFormat="1"/>
    <xf numFmtId="14" fontId="3" fillId="0" borderId="0" xfId="0" applyNumberFormat="1" applyFont="1"/>
    <xf numFmtId="2" fontId="4" fillId="0" borderId="0" xfId="1" applyNumberFormat="1" applyFont="1" applyFill="1" applyBorder="1"/>
    <xf numFmtId="169" fontId="0" fillId="0" borderId="0" xfId="0" applyNumberFormat="1" applyAlignment="1">
      <alignment horizontal="left"/>
    </xf>
    <xf numFmtId="170" fontId="0" fillId="0" borderId="0" xfId="0" applyNumberFormat="1" applyAlignment="1">
      <alignment horizontal="left"/>
    </xf>
    <xf numFmtId="0" fontId="4" fillId="0" borderId="0" xfId="0" applyFont="1" applyFill="1"/>
    <xf numFmtId="0" fontId="4" fillId="0" borderId="0" xfId="0" applyFont="1" applyFill="1" applyBorder="1"/>
    <xf numFmtId="0" fontId="10" fillId="0" borderId="0" xfId="0" applyFont="1" applyFill="1" applyBorder="1"/>
    <xf numFmtId="0" fontId="10" fillId="0" borderId="7" xfId="0" applyFont="1" applyFill="1" applyBorder="1"/>
    <xf numFmtId="44" fontId="4" fillId="0" borderId="0" xfId="1" applyFont="1" applyFill="1" applyBorder="1"/>
    <xf numFmtId="0" fontId="7" fillId="0" borderId="0" xfId="0" applyFont="1" applyFill="1" applyAlignment="1">
      <alignment wrapText="1"/>
    </xf>
    <xf numFmtId="0" fontId="8" fillId="0" borderId="0" xfId="0" applyFont="1" applyFill="1"/>
    <xf numFmtId="0" fontId="4" fillId="0" borderId="7" xfId="0" applyFont="1" applyFill="1" applyBorder="1"/>
    <xf numFmtId="166" fontId="4" fillId="0" borderId="0" xfId="3" applyNumberFormat="1" applyFont="1" applyFill="1" applyBorder="1"/>
    <xf numFmtId="44" fontId="4" fillId="0" borderId="0" xfId="1" applyNumberFormat="1" applyFont="1" applyFill="1" applyBorder="1"/>
    <xf numFmtId="167" fontId="0" fillId="0" borderId="0" xfId="0" applyNumberFormat="1" applyBorder="1"/>
    <xf numFmtId="0" fontId="0" fillId="0" borderId="0" xfId="0" applyBorder="1"/>
    <xf numFmtId="0" fontId="0" fillId="2" borderId="9" xfId="0" applyFill="1" applyBorder="1"/>
    <xf numFmtId="0" fontId="0" fillId="2" borderId="2" xfId="0" applyFill="1" applyBorder="1"/>
    <xf numFmtId="0" fontId="2" fillId="2" borderId="1" xfId="0" applyFont="1" applyFill="1" applyBorder="1"/>
    <xf numFmtId="0" fontId="0" fillId="0" borderId="0" xfId="0" applyFill="1" applyBorder="1"/>
    <xf numFmtId="2" fontId="0" fillId="0" borderId="0" xfId="0" applyNumberFormat="1" applyFill="1" applyBorder="1"/>
    <xf numFmtId="2" fontId="4" fillId="0" borderId="7" xfId="1" applyNumberFormat="1" applyFont="1" applyFill="1" applyBorder="1"/>
    <xf numFmtId="0" fontId="2" fillId="0" borderId="0" xfId="0" applyFont="1" applyFill="1" applyBorder="1"/>
    <xf numFmtId="167" fontId="0" fillId="0" borderId="0" xfId="0" applyNumberFormat="1" applyFill="1" applyBorder="1"/>
    <xf numFmtId="0" fontId="0" fillId="0" borderId="0" xfId="0" applyFill="1"/>
    <xf numFmtId="0" fontId="4" fillId="0" borderId="0" xfId="0" applyFont="1"/>
    <xf numFmtId="167" fontId="4" fillId="2" borderId="0" xfId="0" applyNumberFormat="1" applyFont="1" applyFill="1" applyBorder="1"/>
    <xf numFmtId="0" fontId="4" fillId="2" borderId="0" xfId="0" applyFont="1" applyFill="1" applyBorder="1"/>
    <xf numFmtId="0" fontId="4" fillId="2" borderId="4" xfId="0" applyFont="1" applyFill="1" applyBorder="1"/>
    <xf numFmtId="0" fontId="4" fillId="5" borderId="0" xfId="0" applyFont="1" applyFill="1" applyBorder="1"/>
    <xf numFmtId="0" fontId="7" fillId="0" borderId="0" xfId="0" applyFont="1" applyFill="1"/>
    <xf numFmtId="0" fontId="4" fillId="6" borderId="11" xfId="0" applyFont="1" applyFill="1" applyBorder="1"/>
    <xf numFmtId="0" fontId="4" fillId="6" borderId="12" xfId="0" applyFont="1" applyFill="1" applyBorder="1"/>
    <xf numFmtId="0" fontId="4" fillId="6" borderId="7" xfId="0" applyFont="1" applyFill="1" applyBorder="1"/>
    <xf numFmtId="0" fontId="4" fillId="6" borderId="14" xfId="0" applyFont="1" applyFill="1" applyBorder="1"/>
    <xf numFmtId="0" fontId="4" fillId="5" borderId="11" xfId="0" applyFont="1" applyFill="1" applyBorder="1"/>
    <xf numFmtId="0" fontId="4" fillId="5" borderId="12" xfId="0" applyFont="1" applyFill="1" applyBorder="1"/>
    <xf numFmtId="0" fontId="4" fillId="5" borderId="7" xfId="0" applyFont="1" applyFill="1" applyBorder="1"/>
    <xf numFmtId="0" fontId="4" fillId="5" borderId="13" xfId="0" applyFont="1" applyFill="1" applyBorder="1"/>
    <xf numFmtId="0" fontId="4" fillId="5" borderId="14" xfId="0" applyFont="1" applyFill="1" applyBorder="1"/>
    <xf numFmtId="167" fontId="0" fillId="2" borderId="9" xfId="0" applyNumberFormat="1" applyFill="1" applyBorder="1"/>
    <xf numFmtId="0" fontId="2" fillId="2" borderId="9" xfId="0" applyFont="1" applyFill="1" applyBorder="1"/>
    <xf numFmtId="0" fontId="4" fillId="2" borderId="3" xfId="0" applyFont="1" applyFill="1" applyBorder="1"/>
    <xf numFmtId="0" fontId="7" fillId="2" borderId="3" xfId="0" applyFont="1" applyFill="1" applyBorder="1"/>
    <xf numFmtId="0" fontId="7" fillId="2" borderId="5" xfId="0" applyFont="1" applyFill="1" applyBorder="1"/>
    <xf numFmtId="0" fontId="10" fillId="7" borderId="0" xfId="0" applyFont="1" applyFill="1" applyBorder="1"/>
    <xf numFmtId="0" fontId="4" fillId="7" borderId="3" xfId="0" applyFont="1" applyFill="1" applyBorder="1"/>
    <xf numFmtId="0" fontId="4" fillId="7" borderId="0" xfId="0" applyFont="1" applyFill="1" applyBorder="1"/>
    <xf numFmtId="0" fontId="4" fillId="7" borderId="4" xfId="0" applyFont="1" applyFill="1" applyBorder="1"/>
    <xf numFmtId="0" fontId="4" fillId="7" borderId="5" xfId="0" applyFont="1" applyFill="1" applyBorder="1"/>
    <xf numFmtId="0" fontId="4" fillId="7" borderId="8" xfId="0" applyFont="1" applyFill="1" applyBorder="1"/>
    <xf numFmtId="0" fontId="4" fillId="7" borderId="6" xfId="0" applyFont="1" applyFill="1" applyBorder="1"/>
    <xf numFmtId="0" fontId="0" fillId="7" borderId="9" xfId="0" applyFill="1" applyBorder="1"/>
    <xf numFmtId="0" fontId="13" fillId="7" borderId="3" xfId="0" applyFont="1" applyFill="1" applyBorder="1"/>
    <xf numFmtId="0" fontId="13" fillId="7" borderId="0" xfId="0" applyFont="1" applyFill="1" applyBorder="1"/>
    <xf numFmtId="0" fontId="10" fillId="6" borderId="0" xfId="0" applyFont="1" applyFill="1" applyBorder="1"/>
    <xf numFmtId="0" fontId="10" fillId="2" borderId="0" xfId="0" applyFont="1" applyFill="1" applyBorder="1"/>
    <xf numFmtId="0" fontId="10" fillId="3" borderId="0" xfId="0" applyFont="1" applyFill="1" applyBorder="1"/>
    <xf numFmtId="0" fontId="10" fillId="5" borderId="0" xfId="0" applyFont="1" applyFill="1" applyBorder="1"/>
    <xf numFmtId="0" fontId="10" fillId="6" borderId="7" xfId="0" applyFont="1" applyFill="1" applyBorder="1"/>
    <xf numFmtId="0" fontId="4" fillId="6" borderId="12" xfId="0" applyFont="1" applyFill="1" applyBorder="1" applyAlignment="1">
      <alignment horizontal="left"/>
    </xf>
    <xf numFmtId="0" fontId="4" fillId="6" borderId="13" xfId="0" applyFont="1" applyFill="1" applyBorder="1" applyAlignment="1">
      <alignment horizontal="left"/>
    </xf>
    <xf numFmtId="0" fontId="13" fillId="4" borderId="12" xfId="0" applyFont="1" applyFill="1" applyBorder="1"/>
    <xf numFmtId="0" fontId="10" fillId="4" borderId="7" xfId="0" applyFont="1" applyFill="1" applyBorder="1"/>
    <xf numFmtId="0" fontId="4" fillId="4" borderId="12" xfId="0" applyFont="1" applyFill="1" applyBorder="1"/>
    <xf numFmtId="0" fontId="4" fillId="4" borderId="7" xfId="0" applyFont="1" applyFill="1" applyBorder="1"/>
    <xf numFmtId="0" fontId="4" fillId="4" borderId="13" xfId="0" applyFont="1" applyFill="1" applyBorder="1"/>
    <xf numFmtId="0" fontId="4" fillId="4" borderId="14" xfId="0" applyFont="1" applyFill="1" applyBorder="1"/>
    <xf numFmtId="0" fontId="4" fillId="9" borderId="0" xfId="0" applyFont="1" applyFill="1" applyBorder="1"/>
    <xf numFmtId="0" fontId="4" fillId="9" borderId="4" xfId="0" applyFont="1" applyFill="1" applyBorder="1"/>
    <xf numFmtId="0" fontId="4" fillId="9" borderId="9" xfId="0" applyFont="1" applyFill="1" applyBorder="1"/>
    <xf numFmtId="0" fontId="4" fillId="9" borderId="2" xfId="0" applyFont="1" applyFill="1" applyBorder="1"/>
    <xf numFmtId="0" fontId="4" fillId="9" borderId="8" xfId="0" applyFont="1" applyFill="1" applyBorder="1"/>
    <xf numFmtId="0" fontId="4" fillId="9" borderId="6" xfId="0" applyFont="1" applyFill="1" applyBorder="1"/>
    <xf numFmtId="0" fontId="2" fillId="10" borderId="1" xfId="0" applyFont="1" applyFill="1" applyBorder="1"/>
    <xf numFmtId="167" fontId="0" fillId="10" borderId="9" xfId="0" applyNumberFormat="1" applyFill="1" applyBorder="1"/>
    <xf numFmtId="0" fontId="0" fillId="10" borderId="9" xfId="0" applyFill="1" applyBorder="1"/>
    <xf numFmtId="0" fontId="2" fillId="10" borderId="9" xfId="0" applyFont="1" applyFill="1" applyBorder="1"/>
    <xf numFmtId="0" fontId="0" fillId="10" borderId="2" xfId="0" applyFill="1" applyBorder="1"/>
    <xf numFmtId="0" fontId="4" fillId="10" borderId="3" xfId="0" applyFont="1" applyFill="1" applyBorder="1"/>
    <xf numFmtId="167" fontId="4" fillId="10" borderId="0" xfId="0" applyNumberFormat="1" applyFont="1" applyFill="1" applyBorder="1"/>
    <xf numFmtId="0" fontId="4" fillId="10" borderId="0" xfId="0" applyFont="1" applyFill="1" applyBorder="1"/>
    <xf numFmtId="0" fontId="4" fillId="10" borderId="4" xfId="0" applyFont="1" applyFill="1" applyBorder="1"/>
    <xf numFmtId="0" fontId="7" fillId="10" borderId="3" xfId="0" applyFont="1" applyFill="1" applyBorder="1"/>
    <xf numFmtId="0" fontId="7" fillId="10" borderId="1" xfId="0" applyFont="1" applyFill="1" applyBorder="1"/>
    <xf numFmtId="167" fontId="4" fillId="10" borderId="9" xfId="0" applyNumberFormat="1" applyFont="1" applyFill="1" applyBorder="1"/>
    <xf numFmtId="0" fontId="4" fillId="10" borderId="9" xfId="0" applyFont="1" applyFill="1" applyBorder="1"/>
    <xf numFmtId="0" fontId="7" fillId="10" borderId="5" xfId="0" applyFont="1" applyFill="1" applyBorder="1"/>
    <xf numFmtId="167" fontId="4" fillId="10" borderId="8" xfId="0" applyNumberFormat="1" applyFont="1" applyFill="1" applyBorder="1"/>
    <xf numFmtId="0" fontId="4" fillId="10" borderId="8" xfId="0" applyFont="1" applyFill="1" applyBorder="1"/>
    <xf numFmtId="0" fontId="7" fillId="11" borderId="0" xfId="0" applyFont="1" applyFill="1"/>
    <xf numFmtId="0" fontId="4" fillId="11" borderId="0" xfId="0" applyFont="1" applyFill="1"/>
    <xf numFmtId="169" fontId="4" fillId="11" borderId="0" xfId="0" applyNumberFormat="1" applyFont="1" applyFill="1"/>
    <xf numFmtId="0" fontId="2" fillId="8" borderId="0" xfId="0" applyFont="1" applyFill="1"/>
    <xf numFmtId="0" fontId="0" fillId="8" borderId="0" xfId="0" applyFill="1"/>
    <xf numFmtId="0" fontId="3" fillId="8" borderId="0" xfId="0" applyFont="1" applyFill="1"/>
    <xf numFmtId="164" fontId="0" fillId="8" borderId="0" xfId="1" applyNumberFormat="1" applyFont="1" applyFill="1"/>
    <xf numFmtId="44" fontId="0" fillId="8" borderId="0" xfId="1" applyNumberFormat="1" applyFont="1" applyFill="1"/>
    <xf numFmtId="0" fontId="0" fillId="12" borderId="0" xfId="0" applyFill="1"/>
    <xf numFmtId="0" fontId="3" fillId="12" borderId="0" xfId="0" applyFont="1" applyFill="1"/>
    <xf numFmtId="164" fontId="0" fillId="12" borderId="0" xfId="1" applyNumberFormat="1" applyFont="1" applyFill="1"/>
    <xf numFmtId="164" fontId="0" fillId="12" borderId="0" xfId="0" applyNumberFormat="1" applyFill="1"/>
    <xf numFmtId="43" fontId="0" fillId="11" borderId="0" xfId="3" applyFont="1" applyFill="1"/>
    <xf numFmtId="171" fontId="0" fillId="11" borderId="0" xfId="3" applyNumberFormat="1" applyFont="1" applyFill="1"/>
    <xf numFmtId="0" fontId="14" fillId="5" borderId="10" xfId="0" applyFont="1" applyFill="1" applyBorder="1"/>
    <xf numFmtId="0" fontId="14" fillId="6" borderId="10" xfId="0" applyFont="1" applyFill="1" applyBorder="1"/>
    <xf numFmtId="0" fontId="14" fillId="7" borderId="1" xfId="0" applyFont="1" applyFill="1" applyBorder="1"/>
    <xf numFmtId="0" fontId="7" fillId="0" borderId="0" xfId="0" applyFont="1" applyFill="1" applyBorder="1" applyAlignment="1">
      <alignment horizontal="center"/>
    </xf>
    <xf numFmtId="164" fontId="4" fillId="0" borderId="0" xfId="1" applyNumberFormat="1" applyFont="1" applyFill="1" applyBorder="1"/>
    <xf numFmtId="0" fontId="4" fillId="0" borderId="0" xfId="0" applyFont="1" applyFill="1" applyBorder="1" applyAlignment="1">
      <alignment horizontal="center"/>
    </xf>
    <xf numFmtId="164" fontId="4" fillId="0" borderId="0" xfId="1" quotePrefix="1" applyNumberFormat="1" applyFont="1" applyFill="1" applyBorder="1"/>
    <xf numFmtId="10" fontId="4" fillId="0" borderId="0" xfId="0" applyNumberFormat="1" applyFont="1" applyFill="1" applyBorder="1"/>
    <xf numFmtId="165" fontId="4" fillId="0" borderId="0" xfId="0" applyNumberFormat="1" applyFont="1" applyFill="1" applyBorder="1"/>
    <xf numFmtId="168" fontId="4" fillId="5" borderId="0" xfId="0" applyNumberFormat="1" applyFont="1" applyFill="1" applyBorder="1"/>
    <xf numFmtId="0" fontId="4" fillId="6" borderId="0" xfId="0" applyFont="1" applyFill="1" applyBorder="1"/>
    <xf numFmtId="165" fontId="4" fillId="0" borderId="0" xfId="3" applyNumberFormat="1" applyFont="1" applyFill="1" applyBorder="1"/>
    <xf numFmtId="168" fontId="4" fillId="0" borderId="0" xfId="0" applyNumberFormat="1" applyFont="1" applyFill="1" applyBorder="1"/>
    <xf numFmtId="43" fontId="4" fillId="0" borderId="0" xfId="1" applyNumberFormat="1" applyFont="1" applyFill="1" applyBorder="1"/>
    <xf numFmtId="43" fontId="4" fillId="0" borderId="0" xfId="0" applyNumberFormat="1" applyFont="1" applyFill="1" applyBorder="1"/>
    <xf numFmtId="9" fontId="4" fillId="0" borderId="0" xfId="0" applyNumberFormat="1" applyFont="1" applyFill="1" applyBorder="1"/>
    <xf numFmtId="0" fontId="11" fillId="0" borderId="0" xfId="0" applyFont="1" applyFill="1" applyBorder="1"/>
    <xf numFmtId="43" fontId="4" fillId="0" borderId="0" xfId="3" applyFont="1" applyFill="1" applyBorder="1"/>
    <xf numFmtId="2" fontId="4" fillId="0" borderId="0" xfId="0" applyNumberFormat="1" applyFont="1" applyFill="1" applyBorder="1"/>
    <xf numFmtId="2" fontId="0" fillId="0" borderId="0" xfId="0" applyNumberFormat="1" applyFill="1"/>
    <xf numFmtId="2" fontId="0" fillId="0" borderId="0" xfId="0" applyNumberFormat="1"/>
    <xf numFmtId="0" fontId="2" fillId="0" borderId="0" xfId="0" applyFont="1" applyFill="1"/>
    <xf numFmtId="14" fontId="0" fillId="0" borderId="0" xfId="0" applyNumberFormat="1" applyFill="1"/>
    <xf numFmtId="14" fontId="4" fillId="0" borderId="0" xfId="0" applyNumberFormat="1" applyFont="1" applyFill="1"/>
    <xf numFmtId="0" fontId="16" fillId="0" borderId="7" xfId="0" applyFont="1" applyFill="1" applyBorder="1"/>
    <xf numFmtId="43" fontId="4" fillId="0" borderId="7" xfId="0" applyNumberFormat="1" applyFont="1" applyFill="1" applyBorder="1"/>
    <xf numFmtId="0" fontId="11" fillId="13" borderId="0" xfId="0" applyFont="1" applyFill="1" applyBorder="1"/>
    <xf numFmtId="167" fontId="4" fillId="13" borderId="0" xfId="0" applyNumberFormat="1" applyFont="1" applyFill="1" applyBorder="1"/>
    <xf numFmtId="0" fontId="11" fillId="14" borderId="0" xfId="0" applyFont="1" applyFill="1" applyBorder="1"/>
    <xf numFmtId="167" fontId="4" fillId="14" borderId="0" xfId="0" applyNumberFormat="1" applyFont="1" applyFill="1" applyBorder="1"/>
    <xf numFmtId="167" fontId="4" fillId="0" borderId="0" xfId="0" applyNumberFormat="1" applyFont="1" applyFill="1" applyBorder="1"/>
    <xf numFmtId="43" fontId="0" fillId="8" borderId="0" xfId="3" applyFont="1" applyFill="1"/>
    <xf numFmtId="166" fontId="0" fillId="8" borderId="0" xfId="3" applyNumberFormat="1" applyFont="1" applyFill="1"/>
    <xf numFmtId="0" fontId="4" fillId="0" borderId="9" xfId="0" applyFont="1" applyFill="1" applyBorder="1"/>
    <xf numFmtId="0" fontId="4" fillId="0" borderId="3" xfId="0" applyFont="1" applyFill="1" applyBorder="1"/>
    <xf numFmtId="166" fontId="4" fillId="0" borderId="0" xfId="0" applyNumberFormat="1" applyFont="1" applyFill="1" applyBorder="1"/>
    <xf numFmtId="0" fontId="10" fillId="15" borderId="0" xfId="0" applyFont="1" applyFill="1" applyBorder="1"/>
    <xf numFmtId="0" fontId="4" fillId="0" borderId="5" xfId="0" applyFont="1" applyFill="1" applyBorder="1"/>
    <xf numFmtId="0" fontId="4" fillId="0" borderId="8" xfId="0" applyFont="1" applyFill="1" applyBorder="1"/>
    <xf numFmtId="0" fontId="10" fillId="4" borderId="0" xfId="0" applyFont="1" applyFill="1" applyBorder="1"/>
    <xf numFmtId="0" fontId="10" fillId="10" borderId="0" xfId="0" applyFont="1" applyFill="1" applyBorder="1"/>
    <xf numFmtId="10" fontId="4" fillId="0" borderId="0" xfId="2" applyNumberFormat="1" applyFont="1" applyFill="1" applyBorder="1"/>
    <xf numFmtId="0" fontId="16" fillId="0" borderId="0" xfId="0" applyFont="1" applyFill="1" applyBorder="1"/>
    <xf numFmtId="43" fontId="7" fillId="0" borderId="0" xfId="0" applyNumberFormat="1" applyFont="1" applyFill="1" applyBorder="1"/>
    <xf numFmtId="0" fontId="7" fillId="0" borderId="0" xfId="0" applyFont="1" applyFill="1" applyBorder="1"/>
    <xf numFmtId="0" fontId="0" fillId="12" borderId="0" xfId="0" applyFill="1" applyBorder="1"/>
    <xf numFmtId="0" fontId="0" fillId="15" borderId="0" xfId="0" applyFill="1"/>
    <xf numFmtId="0" fontId="4" fillId="15" borderId="0" xfId="0" applyFont="1" applyFill="1" applyBorder="1"/>
    <xf numFmtId="14" fontId="0" fillId="15" borderId="0" xfId="0" applyNumberFormat="1" applyFill="1"/>
    <xf numFmtId="0" fontId="3" fillId="15" borderId="0" xfId="0" applyFont="1" applyFill="1"/>
    <xf numFmtId="2" fontId="4" fillId="15" borderId="0" xfId="0" applyNumberFormat="1" applyFont="1" applyFill="1" applyBorder="1"/>
    <xf numFmtId="0" fontId="9" fillId="0" borderId="0" xfId="0" applyFont="1" applyFill="1" applyBorder="1"/>
    <xf numFmtId="0" fontId="0" fillId="16" borderId="1" xfId="0" applyFill="1" applyBorder="1"/>
    <xf numFmtId="0" fontId="0" fillId="16" borderId="9" xfId="0" applyFill="1" applyBorder="1"/>
    <xf numFmtId="0" fontId="0" fillId="16" borderId="2" xfId="0" applyFill="1" applyBorder="1"/>
    <xf numFmtId="0" fontId="0" fillId="16" borderId="0" xfId="0" applyFill="1" applyBorder="1"/>
    <xf numFmtId="0" fontId="0" fillId="16" borderId="4" xfId="0" applyFill="1" applyBorder="1"/>
    <xf numFmtId="0" fontId="0" fillId="16" borderId="8" xfId="0" applyFill="1" applyBorder="1"/>
    <xf numFmtId="0" fontId="0" fillId="16" borderId="6" xfId="0" applyFill="1" applyBorder="1"/>
    <xf numFmtId="0" fontId="19" fillId="16" borderId="3" xfId="0" applyFont="1" applyFill="1" applyBorder="1"/>
    <xf numFmtId="0" fontId="19" fillId="16" borderId="3" xfId="0" applyFont="1" applyFill="1" applyBorder="1" applyAlignment="1"/>
    <xf numFmtId="0" fontId="19" fillId="16" borderId="5" xfId="0" applyFont="1" applyFill="1" applyBorder="1"/>
    <xf numFmtId="0" fontId="14" fillId="0" borderId="0" xfId="0" applyFont="1" applyFill="1" applyAlignment="1">
      <alignment horizontal="center"/>
    </xf>
    <xf numFmtId="0" fontId="7" fillId="0" borderId="0" xfId="0" applyFont="1" applyFill="1" applyAlignment="1">
      <alignment vertical="top" wrapText="1"/>
    </xf>
    <xf numFmtId="0" fontId="21" fillId="0" borderId="0" xfId="0" applyFont="1" applyFill="1"/>
    <xf numFmtId="0" fontId="22" fillId="8" borderId="17" xfId="0" applyFont="1" applyFill="1" applyBorder="1" applyAlignment="1">
      <alignment horizontal="center"/>
    </xf>
    <xf numFmtId="0" fontId="21" fillId="0" borderId="0" xfId="0" applyFont="1" applyFill="1" applyAlignment="1">
      <alignment horizontal="center"/>
    </xf>
    <xf numFmtId="0" fontId="21" fillId="0" borderId="0" xfId="0" applyFont="1" applyFill="1" applyBorder="1"/>
    <xf numFmtId="0" fontId="14" fillId="0" borderId="9" xfId="0" applyFont="1" applyFill="1" applyBorder="1"/>
    <xf numFmtId="0" fontId="14" fillId="0" borderId="9" xfId="0" applyFont="1" applyFill="1" applyBorder="1" applyAlignment="1">
      <alignment horizontal="center" wrapText="1"/>
    </xf>
    <xf numFmtId="0" fontId="21" fillId="0" borderId="9" xfId="0" applyFont="1" applyFill="1" applyBorder="1"/>
    <xf numFmtId="164" fontId="21" fillId="0" borderId="0" xfId="1" quotePrefix="1" applyNumberFormat="1" applyFont="1" applyFill="1" applyBorder="1"/>
    <xf numFmtId="0" fontId="16" fillId="5" borderId="0" xfId="0" applyFont="1" applyFill="1" applyBorder="1"/>
    <xf numFmtId="0" fontId="16" fillId="3" borderId="0" xfId="0" applyFont="1" applyFill="1" applyBorder="1"/>
    <xf numFmtId="0" fontId="16" fillId="2" borderId="0" xfId="0" applyFont="1" applyFill="1" applyBorder="1"/>
    <xf numFmtId="0" fontId="16" fillId="7" borderId="0" xfId="0" applyFont="1" applyFill="1" applyBorder="1"/>
    <xf numFmtId="0" fontId="16" fillId="6" borderId="0" xfId="0" applyFont="1" applyFill="1" applyBorder="1"/>
    <xf numFmtId="164" fontId="21" fillId="0" borderId="0" xfId="1" applyNumberFormat="1" applyFont="1" applyFill="1" applyBorder="1"/>
    <xf numFmtId="10" fontId="21" fillId="0" borderId="0" xfId="0" applyNumberFormat="1" applyFont="1" applyFill="1" applyBorder="1"/>
    <xf numFmtId="166" fontId="21" fillId="0" borderId="0" xfId="3" applyNumberFormat="1" applyFont="1" applyFill="1" applyBorder="1"/>
    <xf numFmtId="0" fontId="21" fillId="5" borderId="0" xfId="0" applyFont="1" applyFill="1" applyBorder="1"/>
    <xf numFmtId="167" fontId="21" fillId="3" borderId="0" xfId="0" applyNumberFormat="1" applyFont="1" applyFill="1" applyBorder="1"/>
    <xf numFmtId="167" fontId="21" fillId="2" borderId="0" xfId="0" applyNumberFormat="1" applyFont="1" applyFill="1" applyBorder="1"/>
    <xf numFmtId="0" fontId="21" fillId="7" borderId="0" xfId="0" applyFont="1" applyFill="1" applyBorder="1"/>
    <xf numFmtId="165" fontId="21" fillId="0" borderId="0" xfId="0" applyNumberFormat="1" applyFont="1" applyFill="1" applyBorder="1"/>
    <xf numFmtId="44" fontId="21" fillId="0" borderId="0" xfId="1" applyFont="1" applyFill="1" applyBorder="1"/>
    <xf numFmtId="2" fontId="21" fillId="0" borderId="0" xfId="1" applyNumberFormat="1" applyFont="1" applyFill="1" applyBorder="1"/>
    <xf numFmtId="168" fontId="21" fillId="5" borderId="0" xfId="0" applyNumberFormat="1" applyFont="1" applyFill="1" applyBorder="1"/>
    <xf numFmtId="0" fontId="21" fillId="6" borderId="0" xfId="0" applyFont="1" applyFill="1" applyBorder="1"/>
    <xf numFmtId="0" fontId="21" fillId="2" borderId="0" xfId="0" applyFont="1" applyFill="1" applyBorder="1"/>
    <xf numFmtId="165" fontId="21" fillId="0" borderId="0" xfId="3" applyNumberFormat="1" applyFont="1" applyFill="1" applyBorder="1"/>
    <xf numFmtId="44" fontId="21" fillId="0" borderId="0" xfId="1" applyNumberFormat="1" applyFont="1" applyFill="1" applyBorder="1"/>
    <xf numFmtId="168" fontId="21" fillId="0" borderId="0" xfId="0" applyNumberFormat="1" applyFont="1" applyFill="1" applyBorder="1"/>
    <xf numFmtId="43" fontId="21" fillId="0" borderId="0" xfId="1" applyNumberFormat="1" applyFont="1" applyFill="1" applyBorder="1"/>
    <xf numFmtId="9" fontId="21" fillId="0" borderId="0" xfId="0" applyNumberFormat="1" applyFont="1" applyFill="1" applyBorder="1"/>
    <xf numFmtId="2" fontId="21" fillId="0" borderId="0" xfId="0" applyNumberFormat="1" applyFont="1" applyFill="1" applyBorder="1"/>
    <xf numFmtId="166" fontId="21" fillId="0" borderId="0" xfId="0" applyNumberFormat="1" applyFont="1" applyFill="1" applyBorder="1"/>
    <xf numFmtId="43" fontId="21" fillId="0" borderId="0" xfId="0" applyNumberFormat="1" applyFont="1" applyFill="1" applyBorder="1"/>
    <xf numFmtId="0" fontId="16" fillId="13" borderId="0" xfId="0" applyFont="1" applyFill="1" applyBorder="1"/>
    <xf numFmtId="0" fontId="16" fillId="14" borderId="0" xfId="0" applyFont="1" applyFill="1" applyBorder="1"/>
    <xf numFmtId="43" fontId="21" fillId="0" borderId="0" xfId="3" applyFont="1" applyFill="1" applyBorder="1"/>
    <xf numFmtId="167" fontId="21" fillId="13" borderId="0" xfId="0" applyNumberFormat="1" applyFont="1" applyFill="1" applyBorder="1"/>
    <xf numFmtId="167" fontId="21" fillId="14" borderId="0" xfId="0" applyNumberFormat="1" applyFont="1" applyFill="1" applyBorder="1"/>
    <xf numFmtId="0" fontId="21" fillId="0" borderId="8" xfId="0" applyFont="1" applyFill="1" applyBorder="1"/>
    <xf numFmtId="2" fontId="21" fillId="0" borderId="7" xfId="1" applyNumberFormat="1" applyFont="1" applyFill="1" applyBorder="1"/>
    <xf numFmtId="43" fontId="21" fillId="0" borderId="7" xfId="0" applyNumberFormat="1" applyFont="1" applyFill="1" applyBorder="1"/>
    <xf numFmtId="0" fontId="21" fillId="0" borderId="7" xfId="0" applyFont="1" applyFill="1" applyBorder="1"/>
    <xf numFmtId="0" fontId="16" fillId="0" borderId="9" xfId="0" applyFont="1" applyFill="1" applyBorder="1"/>
    <xf numFmtId="0" fontId="16" fillId="4" borderId="0" xfId="0" applyFont="1" applyFill="1" applyBorder="1"/>
    <xf numFmtId="0" fontId="16" fillId="10" borderId="0" xfId="0" applyFont="1" applyFill="1" applyBorder="1"/>
    <xf numFmtId="10" fontId="21" fillId="0" borderId="0" xfId="2" applyNumberFormat="1" applyFont="1" applyFill="1" applyBorder="1"/>
    <xf numFmtId="167" fontId="21" fillId="10" borderId="0" xfId="0" applyNumberFormat="1" applyFont="1" applyFill="1" applyBorder="1"/>
    <xf numFmtId="2" fontId="3" fillId="0" borderId="0" xfId="0" applyNumberFormat="1" applyFont="1"/>
    <xf numFmtId="44" fontId="4" fillId="0" borderId="0" xfId="0" applyNumberFormat="1" applyFont="1" applyFill="1" applyBorder="1"/>
    <xf numFmtId="0" fontId="10" fillId="0" borderId="0" xfId="0" applyFont="1" applyFill="1" applyBorder="1" applyAlignment="1">
      <alignment horizontal="center"/>
    </xf>
    <xf numFmtId="0" fontId="9" fillId="0" borderId="0" xfId="0" applyFont="1" applyFill="1" applyBorder="1" applyAlignment="1">
      <alignment horizontal="center"/>
    </xf>
    <xf numFmtId="0" fontId="4" fillId="0" borderId="0" xfId="0" applyFont="1" applyFill="1" applyBorder="1" applyAlignment="1">
      <alignment horizontal="right"/>
    </xf>
    <xf numFmtId="167" fontId="10" fillId="0" borderId="0" xfId="0" applyNumberFormat="1" applyFont="1" applyFill="1" applyBorder="1"/>
    <xf numFmtId="0" fontId="0" fillId="17" borderId="0" xfId="0" applyFill="1"/>
    <xf numFmtId="43" fontId="0" fillId="17" borderId="0" xfId="3" applyFont="1" applyFill="1"/>
    <xf numFmtId="164" fontId="0" fillId="17" borderId="0" xfId="1" applyNumberFormat="1" applyFont="1" applyFill="1"/>
    <xf numFmtId="0" fontId="3" fillId="17" borderId="0" xfId="0" applyFont="1" applyFill="1"/>
    <xf numFmtId="164" fontId="0" fillId="17" borderId="0" xfId="0" applyNumberFormat="1" applyFill="1"/>
    <xf numFmtId="0" fontId="2" fillId="18" borderId="0" xfId="0" applyFont="1" applyFill="1"/>
    <xf numFmtId="0" fontId="0" fillId="18" borderId="0" xfId="0" applyFill="1"/>
    <xf numFmtId="171" fontId="0" fillId="18" borderId="0" xfId="3" applyNumberFormat="1" applyFont="1" applyFill="1"/>
    <xf numFmtId="166" fontId="0" fillId="18" borderId="0" xfId="3" applyNumberFormat="1" applyFont="1" applyFill="1"/>
    <xf numFmtId="0" fontId="3" fillId="18" borderId="0" xfId="0" applyFont="1" applyFill="1"/>
    <xf numFmtId="164" fontId="0" fillId="18" borderId="0" xfId="1" applyNumberFormat="1" applyFont="1" applyFill="1"/>
    <xf numFmtId="44" fontId="0" fillId="18" borderId="0" xfId="1" applyNumberFormat="1" applyFont="1" applyFill="1"/>
    <xf numFmtId="0" fontId="0" fillId="12" borderId="10" xfId="0" applyFill="1" applyBorder="1"/>
    <xf numFmtId="0" fontId="0" fillId="12" borderId="19" xfId="0" applyFill="1" applyBorder="1"/>
    <xf numFmtId="0" fontId="0" fillId="12" borderId="11" xfId="0" applyFill="1" applyBorder="1"/>
    <xf numFmtId="0" fontId="19" fillId="12" borderId="12" xfId="0" applyFont="1" applyFill="1" applyBorder="1"/>
    <xf numFmtId="0" fontId="0" fillId="12" borderId="7" xfId="0" applyFill="1" applyBorder="1"/>
    <xf numFmtId="0" fontId="0" fillId="12" borderId="15" xfId="0" applyFill="1" applyBorder="1"/>
    <xf numFmtId="0" fontId="0" fillId="12" borderId="14" xfId="0" applyFill="1" applyBorder="1"/>
    <xf numFmtId="0" fontId="0" fillId="19" borderId="10" xfId="0" applyFill="1" applyBorder="1"/>
    <xf numFmtId="0" fontId="0" fillId="19" borderId="19" xfId="0" applyFill="1" applyBorder="1"/>
    <xf numFmtId="0" fontId="0" fillId="19" borderId="11" xfId="0" applyFill="1" applyBorder="1"/>
    <xf numFmtId="0" fontId="0" fillId="19" borderId="12" xfId="0" applyFill="1" applyBorder="1"/>
    <xf numFmtId="0" fontId="0" fillId="19" borderId="0" xfId="0" applyFill="1" applyBorder="1"/>
    <xf numFmtId="0" fontId="0" fillId="19" borderId="7" xfId="0" applyFill="1" applyBorder="1"/>
    <xf numFmtId="0" fontId="0" fillId="19" borderId="13" xfId="0" applyFill="1" applyBorder="1"/>
    <xf numFmtId="0" fontId="0" fillId="19" borderId="15" xfId="0" applyFill="1" applyBorder="1"/>
    <xf numFmtId="0" fontId="0" fillId="19" borderId="14" xfId="0" applyFill="1" applyBorder="1"/>
    <xf numFmtId="0" fontId="9" fillId="0" borderId="1" xfId="0" applyFont="1" applyFill="1" applyBorder="1"/>
    <xf numFmtId="0" fontId="7" fillId="0" borderId="3" xfId="0" applyFont="1" applyFill="1" applyBorder="1" applyAlignment="1"/>
    <xf numFmtId="0" fontId="14" fillId="0" borderId="0" xfId="0" applyFont="1" applyFill="1" applyBorder="1" applyAlignment="1">
      <alignment horizontal="center" wrapText="1"/>
    </xf>
    <xf numFmtId="0" fontId="5" fillId="4" borderId="21" xfId="0" applyFont="1" applyFill="1" applyBorder="1" applyAlignment="1"/>
    <xf numFmtId="0" fontId="21" fillId="4" borderId="21" xfId="0" applyFont="1" applyFill="1" applyBorder="1"/>
    <xf numFmtId="0" fontId="4" fillId="4" borderId="21" xfId="0" applyFont="1" applyFill="1" applyBorder="1"/>
    <xf numFmtId="0" fontId="9" fillId="0" borderId="3" xfId="0" applyFont="1" applyFill="1" applyBorder="1"/>
    <xf numFmtId="0" fontId="5" fillId="4" borderId="21" xfId="0" applyFont="1" applyFill="1" applyBorder="1"/>
    <xf numFmtId="44" fontId="0" fillId="0" borderId="0" xfId="1" applyFont="1"/>
    <xf numFmtId="44" fontId="2" fillId="0" borderId="0" xfId="1" applyFont="1"/>
    <xf numFmtId="0" fontId="17" fillId="0" borderId="0" xfId="0" applyFont="1"/>
    <xf numFmtId="0" fontId="19" fillId="0" borderId="0" xfId="0" applyFont="1"/>
    <xf numFmtId="0" fontId="26" fillId="0" borderId="0" xfId="0" applyFont="1"/>
    <xf numFmtId="0" fontId="4" fillId="0" borderId="0" xfId="0" applyFont="1" applyFill="1" applyAlignment="1">
      <alignment horizontal="center"/>
    </xf>
    <xf numFmtId="0" fontId="25" fillId="0" borderId="0" xfId="0" applyFont="1" applyFill="1" applyAlignment="1"/>
    <xf numFmtId="0" fontId="27" fillId="0" borderId="0" xfId="0" applyFont="1"/>
    <xf numFmtId="0" fontId="4" fillId="8" borderId="16" xfId="0" applyFont="1" applyFill="1" applyBorder="1" applyAlignment="1">
      <alignment horizontal="center"/>
    </xf>
    <xf numFmtId="44" fontId="7" fillId="0" borderId="0" xfId="0" applyNumberFormat="1" applyFont="1" applyFill="1" applyBorder="1" applyAlignment="1">
      <alignment horizontal="center"/>
    </xf>
    <xf numFmtId="0" fontId="4" fillId="0" borderId="4" xfId="0" applyFont="1" applyFill="1" applyBorder="1"/>
    <xf numFmtId="0" fontId="10" fillId="0" borderId="0" xfId="0" applyFont="1" applyFill="1" applyBorder="1" applyAlignment="1">
      <alignment horizontal="right"/>
    </xf>
    <xf numFmtId="44" fontId="4" fillId="0" borderId="4" xfId="0" applyNumberFormat="1" applyFont="1" applyFill="1" applyBorder="1"/>
    <xf numFmtId="0" fontId="9" fillId="0" borderId="0" xfId="0" applyFont="1" applyFill="1" applyBorder="1" applyAlignment="1">
      <alignment horizontal="right"/>
    </xf>
    <xf numFmtId="44" fontId="7" fillId="0" borderId="4" xfId="0" applyNumberFormat="1" applyFont="1" applyFill="1" applyBorder="1"/>
    <xf numFmtId="0" fontId="4" fillId="0" borderId="8" xfId="0" applyFont="1" applyFill="1" applyBorder="1" applyAlignment="1">
      <alignment horizontal="right"/>
    </xf>
    <xf numFmtId="0" fontId="4" fillId="0" borderId="6" xfId="0" applyFont="1" applyFill="1" applyBorder="1"/>
    <xf numFmtId="0" fontId="4" fillId="0" borderId="9" xfId="0" applyFont="1" applyFill="1" applyBorder="1" applyAlignment="1">
      <alignment horizontal="right"/>
    </xf>
    <xf numFmtId="0" fontId="4" fillId="0" borderId="2" xfId="0" applyFont="1" applyFill="1" applyBorder="1"/>
    <xf numFmtId="44" fontId="7" fillId="0" borderId="4" xfId="1" applyFont="1" applyFill="1" applyBorder="1"/>
    <xf numFmtId="44" fontId="4" fillId="0" borderId="4" xfId="1" applyFont="1" applyFill="1" applyBorder="1"/>
    <xf numFmtId="166" fontId="4" fillId="0" borderId="4" xfId="0" applyNumberFormat="1" applyFont="1" applyFill="1" applyBorder="1"/>
    <xf numFmtId="43" fontId="4" fillId="0" borderId="4" xfId="0" applyNumberFormat="1" applyFont="1" applyFill="1" applyBorder="1"/>
    <xf numFmtId="0" fontId="9" fillId="0" borderId="0" xfId="0" applyFont="1" applyFill="1" applyAlignment="1">
      <alignment horizontal="center"/>
    </xf>
    <xf numFmtId="0" fontId="7" fillId="8" borderId="16" xfId="0" applyFont="1" applyFill="1" applyBorder="1" applyAlignment="1">
      <alignment horizontal="center"/>
    </xf>
    <xf numFmtId="0" fontId="7" fillId="4" borderId="21" xfId="0" applyFont="1" applyFill="1" applyBorder="1" applyAlignment="1">
      <alignment horizontal="center"/>
    </xf>
    <xf numFmtId="0" fontId="7" fillId="0" borderId="8" xfId="0" applyFont="1" applyFill="1" applyBorder="1" applyAlignment="1">
      <alignment horizontal="center"/>
    </xf>
    <xf numFmtId="0" fontId="7" fillId="0" borderId="0" xfId="0" applyFont="1" applyFill="1" applyAlignment="1">
      <alignment horizontal="center"/>
    </xf>
    <xf numFmtId="0" fontId="4" fillId="4" borderId="21" xfId="0" applyFont="1" applyFill="1" applyBorder="1" applyAlignment="1">
      <alignment horizontal="center"/>
    </xf>
    <xf numFmtId="0" fontId="9" fillId="0" borderId="9" xfId="0" applyFont="1" applyFill="1" applyBorder="1"/>
    <xf numFmtId="0" fontId="4" fillId="0" borderId="8" xfId="0" applyFont="1" applyFill="1" applyBorder="1" applyAlignment="1">
      <alignment horizontal="center"/>
    </xf>
    <xf numFmtId="0" fontId="7" fillId="0" borderId="3" xfId="0" applyFont="1" applyFill="1" applyBorder="1" applyAlignment="1">
      <alignment horizontal="left"/>
    </xf>
    <xf numFmtId="0" fontId="7" fillId="0" borderId="5"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left"/>
    </xf>
    <xf numFmtId="0" fontId="0" fillId="0" borderId="0" xfId="0" applyFont="1" applyFill="1" applyBorder="1"/>
    <xf numFmtId="0" fontId="0" fillId="0" borderId="0" xfId="0" applyFont="1" applyBorder="1"/>
    <xf numFmtId="0" fontId="0" fillId="0" borderId="8" xfId="0" applyFont="1" applyBorder="1"/>
    <xf numFmtId="0" fontId="3" fillId="0" borderId="0" xfId="0" applyFont="1" applyAlignment="1">
      <alignment wrapText="1"/>
    </xf>
    <xf numFmtId="0" fontId="4" fillId="0" borderId="0" xfId="0" applyFont="1" applyFill="1" applyAlignment="1">
      <alignment horizontal="right"/>
    </xf>
    <xf numFmtId="0" fontId="9" fillId="4" borderId="21" xfId="0" applyFont="1" applyFill="1" applyBorder="1" applyAlignment="1">
      <alignment horizontal="right"/>
    </xf>
    <xf numFmtId="0" fontId="7" fillId="0" borderId="0" xfId="0" applyFont="1" applyFill="1" applyBorder="1" applyAlignment="1">
      <alignment horizontal="right"/>
    </xf>
    <xf numFmtId="43" fontId="4" fillId="0" borderId="0" xfId="0" applyNumberFormat="1" applyFont="1" applyFill="1" applyBorder="1" applyAlignment="1">
      <alignment horizontal="right"/>
    </xf>
    <xf numFmtId="0" fontId="4" fillId="11" borderId="0" xfId="0" applyFont="1" applyFill="1" applyBorder="1" applyAlignment="1">
      <alignment horizontal="right"/>
    </xf>
    <xf numFmtId="44" fontId="4" fillId="0" borderId="0" xfId="1" applyFont="1" applyFill="1" applyBorder="1" applyAlignment="1">
      <alignment horizontal="right"/>
    </xf>
    <xf numFmtId="0" fontId="4" fillId="4" borderId="21" xfId="0" applyFont="1" applyFill="1" applyBorder="1" applyAlignment="1">
      <alignment horizontal="right"/>
    </xf>
    <xf numFmtId="166" fontId="4" fillId="0" borderId="0" xfId="0" applyNumberFormat="1" applyFont="1" applyFill="1" applyBorder="1" applyAlignment="1">
      <alignment horizontal="right"/>
    </xf>
    <xf numFmtId="0" fontId="30" fillId="0" borderId="0" xfId="0" applyFont="1" applyFill="1"/>
    <xf numFmtId="0" fontId="29" fillId="0" borderId="0" xfId="0" applyFont="1" applyFill="1"/>
    <xf numFmtId="44" fontId="4" fillId="0" borderId="0" xfId="0" applyNumberFormat="1" applyFont="1" applyFill="1"/>
    <xf numFmtId="164" fontId="0" fillId="0" borderId="0" xfId="0" applyNumberFormat="1"/>
    <xf numFmtId="0" fontId="17" fillId="0" borderId="0" xfId="0" applyFont="1" applyBorder="1" applyAlignment="1">
      <alignment horizontal="left"/>
    </xf>
    <xf numFmtId="167" fontId="19" fillId="12" borderId="12" xfId="0" applyNumberFormat="1" applyFont="1" applyFill="1" applyBorder="1"/>
    <xf numFmtId="0" fontId="0" fillId="12" borderId="13" xfId="0" applyFill="1" applyBorder="1"/>
    <xf numFmtId="0" fontId="4" fillId="12" borderId="0" xfId="0" applyFont="1" applyFill="1" applyBorder="1" applyAlignment="1">
      <alignment horizontal="right"/>
    </xf>
    <xf numFmtId="2" fontId="0" fillId="12" borderId="0" xfId="0" applyNumberFormat="1" applyFill="1" applyBorder="1"/>
    <xf numFmtId="2" fontId="0" fillId="12" borderId="15" xfId="0" applyNumberFormat="1" applyFill="1" applyBorder="1"/>
    <xf numFmtId="0" fontId="35" fillId="8" borderId="15" xfId="0" applyFont="1" applyFill="1" applyBorder="1" applyProtection="1">
      <protection locked="0"/>
    </xf>
    <xf numFmtId="0" fontId="0" fillId="0" borderId="0" xfId="0" applyProtection="1">
      <protection locked="0"/>
    </xf>
    <xf numFmtId="44" fontId="0" fillId="0" borderId="0" xfId="1" applyFont="1" applyProtection="1">
      <protection locked="0"/>
    </xf>
    <xf numFmtId="0" fontId="17" fillId="0" borderId="0" xfId="0" applyFont="1" applyProtection="1">
      <protection locked="0"/>
    </xf>
    <xf numFmtId="0" fontId="34" fillId="0" borderId="0" xfId="0" applyFont="1" applyProtection="1">
      <protection locked="0"/>
    </xf>
    <xf numFmtId="0" fontId="17" fillId="0" borderId="0" xfId="0" applyFont="1" applyProtection="1"/>
    <xf numFmtId="0" fontId="17" fillId="20" borderId="0" xfId="0" applyFont="1" applyFill="1" applyAlignment="1" applyProtection="1">
      <alignment horizontal="center"/>
    </xf>
    <xf numFmtId="44" fontId="17" fillId="20" borderId="0" xfId="1" applyFont="1" applyFill="1" applyAlignment="1" applyProtection="1">
      <alignment horizontal="center"/>
    </xf>
    <xf numFmtId="0" fontId="17" fillId="0" borderId="0" xfId="0" applyFont="1" applyFill="1" applyAlignment="1" applyProtection="1">
      <alignment horizontal="center"/>
    </xf>
    <xf numFmtId="44" fontId="17" fillId="0" borderId="0" xfId="1" applyFont="1" applyAlignment="1" applyProtection="1">
      <alignment horizontal="center"/>
    </xf>
    <xf numFmtId="2" fontId="17" fillId="20" borderId="0" xfId="0" applyNumberFormat="1" applyFont="1" applyFill="1" applyAlignment="1" applyProtection="1">
      <alignment horizontal="center"/>
    </xf>
    <xf numFmtId="0" fontId="0" fillId="0" borderId="0" xfId="0" applyProtection="1"/>
    <xf numFmtId="44" fontId="0" fillId="0" borderId="0" xfId="1" applyFont="1" applyProtection="1"/>
    <xf numFmtId="0" fontId="36" fillId="0" borderId="0" xfId="0" applyFont="1" applyProtection="1"/>
    <xf numFmtId="0" fontId="32" fillId="0" borderId="0" xfId="0" applyFont="1" applyProtection="1"/>
    <xf numFmtId="0" fontId="0" fillId="4" borderId="21" xfId="0" applyFill="1" applyBorder="1" applyProtection="1"/>
    <xf numFmtId="44" fontId="0" fillId="4" borderId="21" xfId="1" applyFont="1" applyFill="1" applyBorder="1" applyProtection="1"/>
    <xf numFmtId="0" fontId="33" fillId="0" borderId="0" xfId="0" applyFont="1" applyFill="1" applyBorder="1" applyAlignment="1" applyProtection="1">
      <alignment horizontal="center"/>
    </xf>
    <xf numFmtId="0" fontId="33" fillId="20" borderId="0" xfId="0" applyFont="1" applyFill="1" applyAlignment="1" applyProtection="1">
      <alignment horizontal="center"/>
    </xf>
    <xf numFmtId="0" fontId="33" fillId="0" borderId="0" xfId="0" applyFont="1" applyFill="1" applyAlignment="1" applyProtection="1">
      <alignment horizontal="center"/>
    </xf>
    <xf numFmtId="0" fontId="35" fillId="8" borderId="15" xfId="0" applyFont="1" applyFill="1" applyBorder="1" applyAlignment="1" applyProtection="1">
      <alignment horizontal="center"/>
    </xf>
    <xf numFmtId="44" fontId="35" fillId="8" borderId="15" xfId="1" applyFont="1" applyFill="1" applyBorder="1" applyAlignment="1" applyProtection="1">
      <alignment horizontal="center"/>
    </xf>
    <xf numFmtId="0" fontId="35" fillId="8" borderId="15" xfId="0" applyFont="1" applyFill="1" applyBorder="1" applyProtection="1"/>
    <xf numFmtId="0" fontId="7" fillId="8" borderId="18" xfId="0" applyFont="1" applyFill="1" applyBorder="1" applyAlignment="1" applyProtection="1">
      <alignment horizontal="left"/>
      <protection locked="0"/>
    </xf>
    <xf numFmtId="0" fontId="4" fillId="8" borderId="16" xfId="0" applyFont="1" applyFill="1" applyBorder="1" applyProtection="1">
      <protection locked="0"/>
    </xf>
    <xf numFmtId="164" fontId="4" fillId="8" borderId="16" xfId="1" applyNumberFormat="1" applyFont="1" applyFill="1" applyBorder="1" applyProtection="1">
      <protection locked="0"/>
    </xf>
    <xf numFmtId="10" fontId="4" fillId="8" borderId="16" xfId="0" applyNumberFormat="1" applyFont="1" applyFill="1" applyBorder="1" applyAlignment="1" applyProtection="1">
      <alignment horizontal="center"/>
      <protection locked="0"/>
    </xf>
    <xf numFmtId="0" fontId="4" fillId="0" borderId="0" xfId="0" applyFont="1" applyFill="1" applyBorder="1" applyProtection="1">
      <protection locked="0"/>
    </xf>
    <xf numFmtId="0" fontId="10" fillId="0" borderId="0" xfId="0" applyFont="1" applyFill="1" applyBorder="1" applyAlignment="1" applyProtection="1">
      <alignment horizontal="center"/>
      <protection locked="0"/>
    </xf>
    <xf numFmtId="44" fontId="4" fillId="0" borderId="0" xfId="0" applyNumberFormat="1" applyFont="1" applyFill="1" applyBorder="1" applyProtection="1">
      <protection locked="0"/>
    </xf>
    <xf numFmtId="0" fontId="4" fillId="8" borderId="16" xfId="0" applyFont="1" applyFill="1" applyBorder="1" applyAlignment="1" applyProtection="1">
      <alignment horizontal="center"/>
      <protection locked="0"/>
    </xf>
    <xf numFmtId="164" fontId="4" fillId="8" borderId="16" xfId="1" quotePrefix="1" applyNumberFormat="1" applyFont="1" applyFill="1" applyBorder="1" applyProtection="1">
      <protection locked="0"/>
    </xf>
    <xf numFmtId="0" fontId="7" fillId="8" borderId="16" xfId="0" applyFont="1" applyFill="1" applyBorder="1" applyAlignment="1" applyProtection="1">
      <alignment horizontal="left"/>
      <protection locked="0"/>
    </xf>
    <xf numFmtId="0" fontId="7" fillId="8" borderId="22" xfId="0" applyFont="1" applyFill="1" applyBorder="1" applyAlignment="1" applyProtection="1">
      <alignment horizontal="center"/>
      <protection locked="0"/>
    </xf>
    <xf numFmtId="0" fontId="4" fillId="8" borderId="18" xfId="0" applyFont="1" applyFill="1" applyBorder="1" applyProtection="1">
      <protection locked="0"/>
    </xf>
    <xf numFmtId="44" fontId="4" fillId="8" borderId="16" xfId="1" applyFont="1" applyFill="1" applyBorder="1" applyProtection="1">
      <protection locked="0"/>
    </xf>
    <xf numFmtId="43" fontId="4" fillId="0" borderId="0" xfId="0" applyNumberFormat="1" applyFont="1" applyFill="1" applyBorder="1" applyProtection="1">
      <protection locked="0"/>
    </xf>
    <xf numFmtId="0" fontId="7" fillId="8" borderId="20" xfId="0" applyFont="1" applyFill="1" applyBorder="1" applyAlignment="1" applyProtection="1">
      <alignment horizontal="center"/>
      <protection locked="0"/>
    </xf>
    <xf numFmtId="0" fontId="33" fillId="20" borderId="0" xfId="0" applyFont="1" applyFill="1" applyBorder="1" applyAlignment="1" applyProtection="1">
      <alignment horizontal="center"/>
    </xf>
    <xf numFmtId="0" fontId="33" fillId="0" borderId="0" xfId="0" applyFont="1" applyBorder="1" applyAlignment="1" applyProtection="1">
      <alignment horizontal="center"/>
    </xf>
    <xf numFmtId="44" fontId="17" fillId="20" borderId="0" xfId="1" applyFont="1" applyFill="1" applyAlignment="1" applyProtection="1">
      <alignment horizontal="left"/>
    </xf>
    <xf numFmtId="0" fontId="17" fillId="0" borderId="7" xfId="0" applyFont="1" applyFill="1" applyBorder="1" applyAlignment="1" applyProtection="1">
      <alignment horizontal="center"/>
    </xf>
    <xf numFmtId="0" fontId="0" fillId="0" borderId="0" xfId="0" applyBorder="1" applyProtection="1"/>
    <xf numFmtId="44" fontId="17" fillId="0" borderId="0" xfId="1" applyFont="1" applyProtection="1"/>
    <xf numFmtId="0" fontId="0" fillId="0" borderId="0" xfId="0" applyBorder="1" applyProtection="1">
      <protection locked="0"/>
    </xf>
    <xf numFmtId="0" fontId="17" fillId="0" borderId="11" xfId="0" applyFont="1" applyFill="1" applyBorder="1" applyAlignment="1" applyProtection="1">
      <alignment horizontal="center"/>
    </xf>
    <xf numFmtId="0" fontId="7" fillId="0" borderId="0" xfId="0" applyFont="1" applyFill="1" applyAlignment="1">
      <alignment horizontal="left" wrapText="1"/>
    </xf>
    <xf numFmtId="44" fontId="7" fillId="0" borderId="0" xfId="0" applyNumberFormat="1" applyFont="1" applyFill="1" applyBorder="1"/>
    <xf numFmtId="0" fontId="22" fillId="0" borderId="0" xfId="0" applyFont="1" applyFill="1" applyBorder="1" applyAlignment="1">
      <alignment horizontal="right"/>
    </xf>
    <xf numFmtId="0" fontId="10" fillId="4" borderId="21" xfId="0" applyFont="1" applyFill="1" applyBorder="1" applyAlignment="1">
      <alignment horizontal="center" wrapText="1"/>
    </xf>
    <xf numFmtId="9" fontId="4" fillId="0" borderId="0" xfId="2" applyFont="1" applyFill="1" applyBorder="1"/>
    <xf numFmtId="44" fontId="7" fillId="0" borderId="23" xfId="0" applyNumberFormat="1" applyFont="1" applyFill="1" applyBorder="1"/>
    <xf numFmtId="0" fontId="4" fillId="0" borderId="27" xfId="0" applyFont="1" applyFill="1" applyBorder="1"/>
    <xf numFmtId="0" fontId="4" fillId="8" borderId="16" xfId="0" applyFont="1" applyFill="1" applyBorder="1"/>
    <xf numFmtId="44" fontId="4" fillId="8" borderId="16" xfId="1" applyFont="1" applyFill="1" applyBorder="1"/>
    <xf numFmtId="0" fontId="7" fillId="0" borderId="3" xfId="0" applyFont="1" applyFill="1" applyBorder="1"/>
    <xf numFmtId="0" fontId="4" fillId="8" borderId="18" xfId="0" applyFont="1" applyFill="1" applyBorder="1"/>
    <xf numFmtId="44" fontId="4" fillId="0" borderId="23" xfId="1" applyFont="1" applyFill="1" applyBorder="1"/>
    <xf numFmtId="0" fontId="7" fillId="8" borderId="16" xfId="0" applyFont="1" applyFill="1" applyBorder="1" applyAlignment="1">
      <alignment horizontal="left"/>
    </xf>
    <xf numFmtId="0" fontId="0" fillId="21" borderId="0" xfId="0" applyFill="1" applyBorder="1"/>
    <xf numFmtId="0" fontId="0" fillId="21" borderId="0" xfId="0" applyFill="1"/>
    <xf numFmtId="0" fontId="18" fillId="0" borderId="0" xfId="0" applyFont="1"/>
    <xf numFmtId="0" fontId="20" fillId="0" borderId="0" xfId="0" applyFont="1" applyFill="1" applyAlignment="1">
      <alignment horizontal="center"/>
    </xf>
    <xf numFmtId="0" fontId="33" fillId="0" borderId="0" xfId="0" applyFont="1" applyAlignment="1">
      <alignment horizontal="right"/>
    </xf>
    <xf numFmtId="0" fontId="19" fillId="0" borderId="16" xfId="0" applyFont="1" applyFill="1" applyBorder="1" applyAlignment="1">
      <alignment horizontal="center"/>
    </xf>
    <xf numFmtId="0" fontId="24" fillId="0" borderId="0" xfId="0" applyFont="1" applyAlignment="1"/>
    <xf numFmtId="0" fontId="39" fillId="0" borderId="0" xfId="0" applyFont="1" applyAlignment="1"/>
    <xf numFmtId="0" fontId="18" fillId="0" borderId="0" xfId="0" applyFont="1" applyAlignment="1"/>
    <xf numFmtId="43" fontId="7" fillId="8" borderId="16" xfId="3" applyFont="1" applyFill="1" applyBorder="1" applyAlignment="1">
      <alignment horizontal="left"/>
    </xf>
    <xf numFmtId="0" fontId="4" fillId="0" borderId="1" xfId="0" applyFont="1" applyFill="1" applyBorder="1"/>
    <xf numFmtId="0" fontId="4" fillId="4" borderId="15" xfId="0" applyFont="1" applyFill="1" applyBorder="1"/>
    <xf numFmtId="0" fontId="7" fillId="0" borderId="8" xfId="0" applyFont="1" applyFill="1" applyBorder="1" applyAlignment="1">
      <alignment horizontal="left"/>
    </xf>
    <xf numFmtId="0" fontId="5" fillId="4" borderId="0" xfId="0" applyFont="1" applyFill="1" applyBorder="1" applyAlignment="1">
      <alignment horizontal="left"/>
    </xf>
    <xf numFmtId="0" fontId="4" fillId="4" borderId="0" xfId="0" applyFont="1" applyFill="1" applyBorder="1"/>
    <xf numFmtId="0" fontId="4" fillId="4" borderId="0" xfId="0" applyFont="1" applyFill="1" applyBorder="1" applyAlignment="1">
      <alignment horizontal="right"/>
    </xf>
    <xf numFmtId="0" fontId="7" fillId="8" borderId="18" xfId="0" applyFont="1" applyFill="1" applyBorder="1" applyAlignment="1">
      <alignment horizontal="left"/>
    </xf>
    <xf numFmtId="44" fontId="7" fillId="0" borderId="17" xfId="0" applyNumberFormat="1" applyFont="1" applyFill="1" applyBorder="1"/>
    <xf numFmtId="44" fontId="7" fillId="0" borderId="9" xfId="0" applyNumberFormat="1" applyFont="1" applyFill="1" applyBorder="1"/>
    <xf numFmtId="10" fontId="4" fillId="8" borderId="0" xfId="0" applyNumberFormat="1" applyFont="1" applyFill="1" applyBorder="1" applyAlignment="1" applyProtection="1">
      <alignment horizontal="center"/>
      <protection locked="0"/>
    </xf>
    <xf numFmtId="2" fontId="4" fillId="8" borderId="16" xfId="0" applyNumberFormat="1" applyFont="1" applyFill="1" applyBorder="1"/>
    <xf numFmtId="44" fontId="0" fillId="17" borderId="0" xfId="0" applyNumberFormat="1" applyFill="1"/>
    <xf numFmtId="43" fontId="4" fillId="5" borderId="0" xfId="0" applyNumberFormat="1" applyFont="1" applyFill="1" applyBorder="1"/>
    <xf numFmtId="0" fontId="26" fillId="0" borderId="0" xfId="0" applyFont="1" applyBorder="1" applyAlignment="1"/>
    <xf numFmtId="0" fontId="20" fillId="0" borderId="0" xfId="0" applyFont="1" applyFill="1" applyAlignment="1">
      <alignment horizontal="left"/>
    </xf>
    <xf numFmtId="0" fontId="0" fillId="0" borderId="0" xfId="0" applyFont="1" applyFill="1"/>
    <xf numFmtId="44" fontId="2" fillId="0" borderId="0" xfId="1" applyFont="1" applyBorder="1" applyAlignment="1">
      <alignment vertical="center"/>
    </xf>
    <xf numFmtId="44" fontId="2" fillId="0" borderId="0" xfId="0" applyNumberFormat="1" applyFont="1" applyBorder="1" applyAlignment="1">
      <alignment vertical="center"/>
    </xf>
    <xf numFmtId="0" fontId="2" fillId="0" borderId="0" xfId="0" applyFont="1" applyAlignment="1">
      <alignment horizontal="right"/>
    </xf>
    <xf numFmtId="0" fontId="10" fillId="4" borderId="37" xfId="0" applyFont="1" applyFill="1" applyBorder="1" applyAlignment="1">
      <alignment horizontal="center" wrapText="1"/>
    </xf>
    <xf numFmtId="0" fontId="38" fillId="0" borderId="0" xfId="0" applyFont="1" applyAlignment="1">
      <alignment vertical="center"/>
    </xf>
    <xf numFmtId="0" fontId="0" fillId="0" borderId="0" xfId="0" applyAlignment="1">
      <alignment vertical="center"/>
    </xf>
    <xf numFmtId="44" fontId="2" fillId="0" borderId="0" xfId="1" applyFont="1" applyAlignment="1">
      <alignment vertical="center"/>
    </xf>
    <xf numFmtId="2" fontId="0" fillId="0" borderId="0" xfId="0" applyNumberFormat="1" applyAlignment="1">
      <alignment horizontal="center"/>
    </xf>
    <xf numFmtId="2" fontId="0" fillId="0" borderId="0" xfId="0" applyNumberFormat="1" applyFill="1" applyAlignment="1">
      <alignment horizontal="center"/>
    </xf>
    <xf numFmtId="0" fontId="0" fillId="0" borderId="0" xfId="0" applyAlignment="1">
      <alignment wrapText="1"/>
    </xf>
    <xf numFmtId="0" fontId="17" fillId="0" borderId="0" xfId="0" applyFont="1" applyBorder="1" applyAlignment="1"/>
    <xf numFmtId="0" fontId="17" fillId="0" borderId="0" xfId="0" applyFont="1" applyFill="1" applyBorder="1" applyAlignment="1">
      <alignment horizontal="left"/>
    </xf>
    <xf numFmtId="0" fontId="0" fillId="0" borderId="1" xfId="0" applyBorder="1"/>
    <xf numFmtId="0" fontId="0" fillId="0" borderId="9" xfId="0" applyBorder="1"/>
    <xf numFmtId="0" fontId="17" fillId="0" borderId="3" xfId="0" applyFont="1" applyBorder="1" applyAlignment="1">
      <alignment horizontal="left"/>
    </xf>
    <xf numFmtId="0" fontId="17" fillId="0" borderId="5" xfId="0" applyFont="1" applyBorder="1" applyAlignment="1">
      <alignment horizontal="left"/>
    </xf>
    <xf numFmtId="164" fontId="17" fillId="0" borderId="8" xfId="0" applyNumberFormat="1" applyFont="1" applyBorder="1" applyAlignment="1">
      <alignment horizontal="left"/>
    </xf>
    <xf numFmtId="44" fontId="17" fillId="0" borderId="8" xfId="0" applyNumberFormat="1" applyFont="1" applyBorder="1" applyAlignment="1"/>
    <xf numFmtId="164" fontId="0" fillId="0" borderId="8" xfId="0" applyNumberFormat="1" applyBorder="1"/>
    <xf numFmtId="0" fontId="0" fillId="0" borderId="8" xfId="0" applyBorder="1"/>
    <xf numFmtId="0" fontId="0" fillId="0" borderId="40" xfId="0" applyBorder="1"/>
    <xf numFmtId="0" fontId="17" fillId="0" borderId="41" xfId="0" applyFont="1" applyFill="1" applyBorder="1" applyAlignment="1">
      <alignment horizontal="left"/>
    </xf>
    <xf numFmtId="0" fontId="0" fillId="0" borderId="41" xfId="0" applyBorder="1"/>
    <xf numFmtId="0" fontId="0" fillId="0" borderId="42" xfId="0" applyBorder="1"/>
    <xf numFmtId="44" fontId="0" fillId="0" borderId="41" xfId="0" applyNumberFormat="1" applyBorder="1"/>
    <xf numFmtId="0" fontId="36" fillId="0" borderId="0" xfId="0" applyFont="1"/>
    <xf numFmtId="0" fontId="26" fillId="8" borderId="37" xfId="0" applyFont="1" applyFill="1" applyBorder="1" applyAlignment="1"/>
    <xf numFmtId="0" fontId="26" fillId="8" borderId="37" xfId="0" applyFont="1" applyFill="1" applyBorder="1" applyAlignment="1">
      <alignment horizontal="left" wrapText="1"/>
    </xf>
    <xf numFmtId="0" fontId="0" fillId="0" borderId="0" xfId="0" applyAlignment="1">
      <alignment horizontal="left"/>
    </xf>
    <xf numFmtId="0" fontId="42" fillId="0" borderId="0" xfId="0" applyFont="1"/>
    <xf numFmtId="44" fontId="0" fillId="0" borderId="0" xfId="1" applyFont="1" applyAlignment="1">
      <alignment horizontal="center" vertical="center"/>
    </xf>
    <xf numFmtId="0" fontId="0" fillId="0" borderId="0" xfId="0" applyAlignment="1" applyProtection="1">
      <alignment vertical="center"/>
    </xf>
    <xf numFmtId="44" fontId="0" fillId="0" borderId="0" xfId="1" applyFont="1" applyAlignment="1" applyProtection="1">
      <alignment horizontal="center" vertical="center"/>
    </xf>
    <xf numFmtId="44" fontId="42" fillId="0" borderId="0" xfId="1" applyFont="1" applyAlignment="1" applyProtection="1">
      <alignment vertical="center"/>
    </xf>
    <xf numFmtId="0" fontId="28" fillId="8" borderId="0" xfId="0" applyFont="1" applyFill="1" applyProtection="1"/>
    <xf numFmtId="0" fontId="0" fillId="8" borderId="0" xfId="0" applyFont="1" applyFill="1" applyProtection="1"/>
    <xf numFmtId="0" fontId="0" fillId="0" borderId="0" xfId="0" applyFont="1" applyAlignment="1" applyProtection="1">
      <alignment vertical="center"/>
    </xf>
    <xf numFmtId="0" fontId="18" fillId="0" borderId="0" xfId="0" applyFont="1" applyProtection="1"/>
    <xf numFmtId="0" fontId="38" fillId="0" borderId="0" xfId="0" applyFont="1" applyBorder="1" applyAlignment="1" applyProtection="1">
      <alignment horizontal="right" vertical="center"/>
    </xf>
    <xf numFmtId="44" fontId="26" fillId="0" borderId="8" xfId="0" applyNumberFormat="1" applyFont="1" applyBorder="1" applyAlignment="1" applyProtection="1">
      <alignment vertical="center"/>
    </xf>
    <xf numFmtId="0" fontId="24" fillId="0" borderId="0" xfId="0" applyFont="1" applyAlignment="1" applyProtection="1"/>
    <xf numFmtId="0" fontId="39" fillId="0" borderId="0" xfId="0" applyFont="1" applyAlignment="1" applyProtection="1"/>
    <xf numFmtId="0" fontId="18" fillId="0" borderId="0" xfId="0" applyFont="1" applyAlignment="1" applyProtection="1"/>
    <xf numFmtId="0" fontId="18" fillId="0" borderId="0" xfId="0" applyFont="1" applyAlignment="1" applyProtection="1">
      <alignment vertical="center"/>
    </xf>
    <xf numFmtId="0" fontId="18" fillId="0" borderId="0" xfId="0" applyFont="1" applyAlignment="1" applyProtection="1">
      <alignment horizontal="center" vertical="center"/>
    </xf>
    <xf numFmtId="44" fontId="2" fillId="0" borderId="23" xfId="1" applyFont="1" applyBorder="1" applyAlignment="1" applyProtection="1">
      <alignment vertical="center"/>
    </xf>
    <xf numFmtId="0" fontId="19" fillId="0" borderId="16" xfId="0" applyFont="1" applyFill="1" applyBorder="1" applyAlignment="1" applyProtection="1">
      <alignment horizontal="center"/>
    </xf>
    <xf numFmtId="44" fontId="2" fillId="0" borderId="23" xfId="0" applyNumberFormat="1" applyFont="1" applyBorder="1" applyAlignment="1" applyProtection="1">
      <alignment vertical="center"/>
    </xf>
    <xf numFmtId="0" fontId="0" fillId="0" borderId="0" xfId="0" applyFont="1" applyProtection="1"/>
    <xf numFmtId="44" fontId="2" fillId="0" borderId="0" xfId="1" applyFont="1" applyAlignment="1" applyProtection="1">
      <alignment vertical="center"/>
    </xf>
    <xf numFmtId="44" fontId="0" fillId="0" borderId="0" xfId="1" applyFont="1" applyFill="1" applyBorder="1" applyAlignment="1" applyProtection="1">
      <alignment horizontal="center" vertical="center"/>
    </xf>
    <xf numFmtId="0" fontId="0" fillId="0" borderId="0" xfId="0" applyFont="1" applyAlignment="1"/>
    <xf numFmtId="0" fontId="0" fillId="0" borderId="16" xfId="0" applyFont="1" applyFill="1" applyBorder="1" applyAlignment="1">
      <alignment horizontal="center"/>
    </xf>
    <xf numFmtId="2" fontId="4" fillId="8" borderId="16" xfId="0" applyNumberFormat="1" applyFont="1" applyFill="1" applyBorder="1" applyAlignment="1" applyProtection="1">
      <alignment horizontal="center"/>
      <protection locked="0"/>
    </xf>
    <xf numFmtId="44" fontId="26" fillId="0" borderId="0" xfId="0" applyNumberFormat="1" applyFont="1" applyFill="1" applyBorder="1" applyAlignment="1"/>
    <xf numFmtId="0" fontId="31" fillId="0" borderId="0" xfId="4" applyFill="1" applyAlignment="1"/>
    <xf numFmtId="0" fontId="2" fillId="0" borderId="8" xfId="0" applyFont="1" applyBorder="1" applyAlignment="1">
      <alignment horizontal="right"/>
    </xf>
    <xf numFmtId="0" fontId="33" fillId="0" borderId="8" xfId="0" applyFont="1" applyBorder="1" applyAlignment="1">
      <alignment horizontal="right"/>
    </xf>
    <xf numFmtId="0" fontId="19" fillId="0" borderId="30" xfId="0" applyFont="1" applyFill="1" applyBorder="1" applyAlignment="1">
      <alignment horizontal="center"/>
    </xf>
    <xf numFmtId="0" fontId="0" fillId="0" borderId="0" xfId="0" applyFill="1" applyBorder="1" applyAlignment="1">
      <alignment horizontal="right"/>
    </xf>
    <xf numFmtId="0" fontId="32" fillId="0" borderId="0" xfId="0" applyFont="1" applyBorder="1" applyAlignment="1">
      <alignment wrapText="1"/>
    </xf>
    <xf numFmtId="0" fontId="19" fillId="0" borderId="30" xfId="0" applyFont="1" applyFill="1" applyBorder="1" applyAlignment="1" applyProtection="1">
      <alignment horizontal="center"/>
    </xf>
    <xf numFmtId="0" fontId="0" fillId="0" borderId="30" xfId="0" applyFont="1" applyFill="1" applyBorder="1" applyAlignment="1">
      <alignment horizontal="center"/>
    </xf>
    <xf numFmtId="9" fontId="0" fillId="0" borderId="0" xfId="0" applyNumberFormat="1"/>
    <xf numFmtId="9" fontId="0" fillId="0" borderId="0" xfId="2" applyFont="1"/>
    <xf numFmtId="0" fontId="19" fillId="0" borderId="0" xfId="0" applyFont="1" applyBorder="1"/>
    <xf numFmtId="0" fontId="17" fillId="0" borderId="18" xfId="0" applyFont="1" applyBorder="1" applyAlignment="1">
      <alignment horizontal="center"/>
    </xf>
    <xf numFmtId="0" fontId="0" fillId="0" borderId="4" xfId="0" applyBorder="1"/>
    <xf numFmtId="0" fontId="0" fillId="0" borderId="6" xfId="0" applyBorder="1"/>
    <xf numFmtId="0" fontId="0" fillId="0" borderId="15" xfId="0" applyBorder="1"/>
    <xf numFmtId="0" fontId="0" fillId="0" borderId="15" xfId="0" applyFill="1" applyBorder="1"/>
    <xf numFmtId="0" fontId="0" fillId="0" borderId="44" xfId="0" applyBorder="1"/>
    <xf numFmtId="0" fontId="0" fillId="0" borderId="7" xfId="0" applyBorder="1"/>
    <xf numFmtId="0" fontId="0" fillId="0" borderId="39" xfId="0" applyBorder="1"/>
    <xf numFmtId="0" fontId="0" fillId="22" borderId="0" xfId="0" applyFill="1" applyBorder="1"/>
    <xf numFmtId="0" fontId="19" fillId="22" borderId="0" xfId="0" applyFont="1" applyFill="1" applyBorder="1"/>
    <xf numFmtId="0" fontId="0" fillId="22" borderId="4" xfId="0" applyFill="1" applyBorder="1"/>
    <xf numFmtId="170" fontId="0" fillId="23" borderId="3" xfId="0" applyNumberFormat="1" applyFill="1" applyBorder="1" applyAlignment="1">
      <alignment horizontal="left"/>
    </xf>
    <xf numFmtId="169" fontId="0" fillId="23" borderId="3" xfId="0" applyNumberFormat="1" applyFill="1" applyBorder="1" applyAlignment="1">
      <alignment horizontal="left"/>
    </xf>
    <xf numFmtId="169" fontId="0" fillId="23" borderId="5" xfId="0" applyNumberFormat="1" applyFill="1" applyBorder="1" applyAlignment="1">
      <alignment horizontal="left"/>
    </xf>
    <xf numFmtId="0" fontId="0" fillId="22" borderId="3" xfId="0" applyFill="1" applyBorder="1"/>
    <xf numFmtId="170" fontId="2" fillId="0" borderId="1" xfId="0" applyNumberFormat="1" applyFont="1" applyBorder="1" applyAlignment="1">
      <alignment horizontal="left"/>
    </xf>
    <xf numFmtId="0" fontId="2" fillId="0" borderId="9" xfId="0" applyFont="1" applyBorder="1"/>
    <xf numFmtId="0" fontId="2" fillId="0" borderId="2" xfId="0" applyFont="1" applyBorder="1"/>
    <xf numFmtId="0" fontId="21" fillId="0" borderId="0" xfId="0" applyFont="1" applyFill="1" applyBorder="1" applyAlignment="1">
      <alignment horizontal="right"/>
    </xf>
    <xf numFmtId="1" fontId="21" fillId="5" borderId="0" xfId="0" applyNumberFormat="1" applyFont="1" applyFill="1" applyBorder="1"/>
    <xf numFmtId="14" fontId="21" fillId="0" borderId="0" xfId="0" applyNumberFormat="1" applyFont="1" applyFill="1" applyBorder="1"/>
    <xf numFmtId="0" fontId="0" fillId="0" borderId="4" xfId="0" applyFill="1" applyBorder="1"/>
    <xf numFmtId="0" fontId="0" fillId="0" borderId="12" xfId="0" applyBorder="1"/>
    <xf numFmtId="167" fontId="21" fillId="0" borderId="0" xfId="0" applyNumberFormat="1" applyFont="1" applyFill="1" applyBorder="1"/>
    <xf numFmtId="0" fontId="19" fillId="0" borderId="0" xfId="0" applyFont="1" applyFill="1" applyBorder="1"/>
    <xf numFmtId="170" fontId="2" fillId="0" borderId="0" xfId="0" applyNumberFormat="1" applyFont="1" applyFill="1" applyBorder="1" applyAlignment="1">
      <alignment horizontal="left"/>
    </xf>
    <xf numFmtId="170" fontId="0" fillId="0" borderId="0" xfId="0" applyNumberFormat="1" applyFill="1" applyBorder="1" applyAlignment="1">
      <alignment horizontal="left"/>
    </xf>
    <xf numFmtId="169" fontId="0" fillId="0" borderId="0" xfId="0" applyNumberFormat="1" applyFill="1" applyBorder="1" applyAlignment="1">
      <alignment horizontal="left"/>
    </xf>
    <xf numFmtId="0" fontId="32" fillId="2" borderId="0" xfId="0" applyFont="1" applyFill="1" applyBorder="1"/>
    <xf numFmtId="167" fontId="32" fillId="2" borderId="8" xfId="0" applyNumberFormat="1" applyFont="1" applyFill="1" applyBorder="1"/>
    <xf numFmtId="0" fontId="32" fillId="2" borderId="8" xfId="0" applyFont="1" applyFill="1" applyBorder="1"/>
    <xf numFmtId="0" fontId="32" fillId="2" borderId="51" xfId="0" applyFont="1" applyFill="1" applyBorder="1"/>
    <xf numFmtId="167" fontId="32" fillId="2" borderId="0" xfId="0" applyNumberFormat="1" applyFont="1" applyFill="1" applyBorder="1"/>
    <xf numFmtId="0" fontId="32" fillId="2" borderId="52" xfId="0" applyFont="1" applyFill="1" applyBorder="1"/>
    <xf numFmtId="167" fontId="4" fillId="2" borderId="53" xfId="0" applyNumberFormat="1" applyFont="1" applyFill="1" applyBorder="1"/>
    <xf numFmtId="0" fontId="4" fillId="2" borderId="53" xfId="0" applyFont="1" applyFill="1" applyBorder="1"/>
    <xf numFmtId="0" fontId="32" fillId="2" borderId="53" xfId="0" applyFont="1" applyFill="1" applyBorder="1"/>
    <xf numFmtId="0" fontId="44" fillId="3" borderId="3" xfId="0" applyFont="1" applyFill="1" applyBorder="1"/>
    <xf numFmtId="0" fontId="44" fillId="3" borderId="0" xfId="0" applyFont="1" applyFill="1" applyBorder="1"/>
    <xf numFmtId="0" fontId="44" fillId="3" borderId="4" xfId="0" applyFont="1" applyFill="1" applyBorder="1"/>
    <xf numFmtId="0" fontId="32" fillId="3" borderId="3" xfId="0" applyFont="1" applyFill="1" applyBorder="1"/>
    <xf numFmtId="0" fontId="32" fillId="3" borderId="0" xfId="0" applyFont="1" applyFill="1" applyBorder="1"/>
    <xf numFmtId="0" fontId="32" fillId="3" borderId="4" xfId="0" applyFont="1" applyFill="1" applyBorder="1"/>
    <xf numFmtId="0" fontId="32" fillId="3" borderId="5" xfId="0" applyFont="1" applyFill="1" applyBorder="1"/>
    <xf numFmtId="0" fontId="32" fillId="3" borderId="8" xfId="0" applyFont="1" applyFill="1" applyBorder="1"/>
    <xf numFmtId="0" fontId="32" fillId="3" borderId="6" xfId="0" applyFont="1" applyFill="1" applyBorder="1"/>
    <xf numFmtId="0" fontId="32" fillId="7" borderId="0" xfId="0" applyFont="1" applyFill="1" applyBorder="1"/>
    <xf numFmtId="0" fontId="45" fillId="13" borderId="10" xfId="0" applyFont="1" applyFill="1" applyBorder="1"/>
    <xf numFmtId="0" fontId="32" fillId="13" borderId="19" xfId="0" applyFont="1" applyFill="1" applyBorder="1"/>
    <xf numFmtId="0" fontId="32" fillId="13" borderId="11" xfId="0" applyFont="1" applyFill="1" applyBorder="1"/>
    <xf numFmtId="0" fontId="45" fillId="13" borderId="12" xfId="0" applyFont="1" applyFill="1" applyBorder="1"/>
    <xf numFmtId="0" fontId="32" fillId="13" borderId="0" xfId="0" applyFont="1" applyFill="1" applyBorder="1"/>
    <xf numFmtId="0" fontId="32" fillId="13" borderId="7" xfId="0" applyFont="1" applyFill="1" applyBorder="1"/>
    <xf numFmtId="0" fontId="32" fillId="13" borderId="12" xfId="0" applyFont="1" applyFill="1" applyBorder="1"/>
    <xf numFmtId="167" fontId="46" fillId="13" borderId="7" xfId="0" applyNumberFormat="1" applyFont="1" applyFill="1" applyBorder="1"/>
    <xf numFmtId="0" fontId="32" fillId="14" borderId="12" xfId="0" applyFont="1" applyFill="1" applyBorder="1"/>
    <xf numFmtId="0" fontId="32" fillId="14" borderId="0" xfId="0" applyFont="1" applyFill="1" applyBorder="1"/>
    <xf numFmtId="0" fontId="32" fillId="14" borderId="7" xfId="0" applyFont="1" applyFill="1" applyBorder="1"/>
    <xf numFmtId="0" fontId="32" fillId="14" borderId="13" xfId="0" applyFont="1" applyFill="1" applyBorder="1"/>
    <xf numFmtId="0" fontId="32" fillId="14" borderId="15" xfId="0" applyFont="1" applyFill="1" applyBorder="1"/>
    <xf numFmtId="0" fontId="32" fillId="14" borderId="14" xfId="0" applyFont="1" applyFill="1" applyBorder="1"/>
    <xf numFmtId="169" fontId="0" fillId="0" borderId="54" xfId="0" applyNumberFormat="1" applyBorder="1" applyAlignment="1">
      <alignment horizontal="left"/>
    </xf>
    <xf numFmtId="0" fontId="0" fillId="0" borderId="55" xfId="0" applyBorder="1"/>
    <xf numFmtId="0" fontId="0" fillId="0" borderId="56" xfId="0" applyBorder="1"/>
    <xf numFmtId="169" fontId="0" fillId="0" borderId="57" xfId="0" applyNumberFormat="1" applyBorder="1" applyAlignment="1">
      <alignment horizontal="left"/>
    </xf>
    <xf numFmtId="0" fontId="0" fillId="0" borderId="58" xfId="0" applyBorder="1"/>
    <xf numFmtId="0" fontId="0" fillId="0" borderId="59" xfId="0" applyBorder="1"/>
    <xf numFmtId="0" fontId="0" fillId="0" borderId="60" xfId="0" applyBorder="1"/>
    <xf numFmtId="169" fontId="0" fillId="0" borderId="61" xfId="0" applyNumberFormat="1" applyBorder="1" applyAlignment="1">
      <alignment horizontal="left"/>
    </xf>
    <xf numFmtId="0" fontId="0" fillId="0" borderId="62" xfId="0" applyBorder="1"/>
    <xf numFmtId="0" fontId="0" fillId="0" borderId="52" xfId="0" applyBorder="1"/>
    <xf numFmtId="169" fontId="0" fillId="0" borderId="63" xfId="0" applyNumberFormat="1" applyBorder="1" applyAlignment="1">
      <alignment horizontal="left"/>
    </xf>
    <xf numFmtId="0" fontId="0" fillId="0" borderId="64" xfId="0" applyBorder="1"/>
    <xf numFmtId="0" fontId="0" fillId="0" borderId="65" xfId="0" applyBorder="1"/>
    <xf numFmtId="0" fontId="22" fillId="0" borderId="0" xfId="0" applyFont="1" applyFill="1" applyAlignment="1">
      <alignment horizontal="left" vertical="center"/>
    </xf>
    <xf numFmtId="0" fontId="17" fillId="4" borderId="19" xfId="0" applyFont="1" applyFill="1" applyBorder="1"/>
    <xf numFmtId="0" fontId="18" fillId="4" borderId="19" xfId="0" applyFont="1" applyFill="1" applyBorder="1"/>
    <xf numFmtId="44" fontId="18" fillId="20" borderId="0" xfId="0" applyNumberFormat="1" applyFont="1" applyFill="1"/>
    <xf numFmtId="0" fontId="18" fillId="20" borderId="0" xfId="0" applyFont="1" applyFill="1"/>
    <xf numFmtId="44" fontId="38" fillId="20" borderId="0" xfId="0" applyNumberFormat="1" applyFont="1" applyFill="1"/>
    <xf numFmtId="0" fontId="17" fillId="0" borderId="0" xfId="0" applyFont="1" applyBorder="1" applyAlignment="1">
      <alignment horizontal="right"/>
    </xf>
    <xf numFmtId="0" fontId="17" fillId="0" borderId="9" xfId="0" applyFont="1" applyBorder="1"/>
    <xf numFmtId="0" fontId="17" fillId="0" borderId="8" xfId="0" applyFont="1" applyBorder="1"/>
    <xf numFmtId="0" fontId="17" fillId="0" borderId="8" xfId="0" applyFont="1" applyBorder="1" applyAlignment="1">
      <alignment horizontal="left"/>
    </xf>
    <xf numFmtId="0" fontId="17" fillId="0" borderId="9" xfId="0" applyFont="1" applyFill="1" applyBorder="1"/>
    <xf numFmtId="0" fontId="17" fillId="4" borderId="48" xfId="0" applyFont="1" applyFill="1" applyBorder="1"/>
    <xf numFmtId="0" fontId="17" fillId="0" borderId="18" xfId="0" applyFont="1" applyBorder="1"/>
    <xf numFmtId="0" fontId="17" fillId="0" borderId="16" xfId="0" applyFont="1" applyBorder="1"/>
    <xf numFmtId="0" fontId="17" fillId="0" borderId="46" xfId="0" applyFont="1" applyBorder="1"/>
    <xf numFmtId="0" fontId="17" fillId="0" borderId="16" xfId="0" applyFont="1" applyBorder="1" applyAlignment="1">
      <alignment horizontal="left"/>
    </xf>
    <xf numFmtId="0" fontId="17" fillId="0" borderId="16" xfId="0" applyFont="1" applyFill="1" applyBorder="1" applyAlignment="1">
      <alignment horizontal="center"/>
    </xf>
    <xf numFmtId="172" fontId="17" fillId="0" borderId="16" xfId="0" applyNumberFormat="1" applyFont="1" applyBorder="1" applyAlignment="1">
      <alignment horizontal="center"/>
    </xf>
    <xf numFmtId="0" fontId="17" fillId="0" borderId="16" xfId="0" applyFont="1" applyBorder="1" applyAlignment="1">
      <alignment horizontal="center"/>
    </xf>
    <xf numFmtId="164" fontId="17" fillId="0" borderId="16" xfId="0" applyNumberFormat="1" applyFont="1" applyBorder="1"/>
    <xf numFmtId="164" fontId="17" fillId="0" borderId="46" xfId="0" applyNumberFormat="1" applyFont="1" applyBorder="1"/>
    <xf numFmtId="0" fontId="17" fillId="0" borderId="26" xfId="0" applyFont="1" applyBorder="1"/>
    <xf numFmtId="172" fontId="17" fillId="0" borderId="26" xfId="0" applyNumberFormat="1" applyFont="1" applyBorder="1" applyAlignment="1">
      <alignment horizontal="center"/>
    </xf>
    <xf numFmtId="0" fontId="17" fillId="0" borderId="26" xfId="0" applyFont="1" applyBorder="1" applyAlignment="1">
      <alignment horizontal="center"/>
    </xf>
    <xf numFmtId="0" fontId="17" fillId="0" borderId="24" xfId="0" applyFont="1" applyBorder="1" applyAlignment="1">
      <alignment horizontal="left"/>
    </xf>
    <xf numFmtId="0" fontId="17" fillId="0" borderId="24" xfId="0" applyFont="1" applyBorder="1" applyAlignment="1">
      <alignment horizontal="center"/>
    </xf>
    <xf numFmtId="2" fontId="17" fillId="0" borderId="25" xfId="0" applyNumberFormat="1" applyFont="1" applyBorder="1" applyAlignment="1">
      <alignment horizontal="center"/>
    </xf>
    <xf numFmtId="164" fontId="17" fillId="0" borderId="25" xfId="0" applyNumberFormat="1" applyFont="1" applyBorder="1"/>
    <xf numFmtId="0" fontId="17" fillId="0" borderId="49" xfId="0" applyFont="1" applyBorder="1" applyAlignment="1">
      <alignment horizontal="left"/>
    </xf>
    <xf numFmtId="0" fontId="17" fillId="0" borderId="18" xfId="0" applyFont="1" applyBorder="1" applyAlignment="1">
      <alignment horizontal="left"/>
    </xf>
    <xf numFmtId="0" fontId="33" fillId="0" borderId="3" xfId="0" applyFont="1" applyBorder="1" applyAlignment="1">
      <alignment horizontal="left"/>
    </xf>
    <xf numFmtId="0" fontId="33" fillId="0" borderId="0" xfId="0" applyFont="1" applyBorder="1" applyAlignment="1">
      <alignment horizontal="left"/>
    </xf>
    <xf numFmtId="164" fontId="33" fillId="0" borderId="0" xfId="0" applyNumberFormat="1" applyFont="1" applyBorder="1" applyAlignment="1">
      <alignment horizontal="center"/>
    </xf>
    <xf numFmtId="164" fontId="33" fillId="0" borderId="4" xfId="0" applyNumberFormat="1" applyFont="1" applyBorder="1" applyAlignment="1">
      <alignment horizontal="center"/>
    </xf>
    <xf numFmtId="0" fontId="17" fillId="0" borderId="24" xfId="0" applyFont="1" applyBorder="1" applyAlignment="1"/>
    <xf numFmtId="166" fontId="18" fillId="0" borderId="21" xfId="3" applyNumberFormat="1" applyFont="1" applyBorder="1" applyAlignment="1">
      <alignment horizontal="center"/>
    </xf>
    <xf numFmtId="172" fontId="18" fillId="0" borderId="24" xfId="0" applyNumberFormat="1" applyFont="1" applyBorder="1"/>
    <xf numFmtId="14" fontId="49" fillId="0" borderId="0" xfId="0" applyNumberFormat="1" applyFont="1" applyAlignment="1">
      <alignment wrapText="1"/>
    </xf>
    <xf numFmtId="170" fontId="21" fillId="2" borderId="0" xfId="0" applyNumberFormat="1" applyFont="1" applyFill="1" applyBorder="1"/>
    <xf numFmtId="170" fontId="4" fillId="2" borderId="0" xfId="0" applyNumberFormat="1" applyFont="1" applyFill="1" applyBorder="1"/>
    <xf numFmtId="171" fontId="4" fillId="0" borderId="0" xfId="3" applyNumberFormat="1" applyFont="1" applyFill="1" applyBorder="1"/>
    <xf numFmtId="171" fontId="4" fillId="0" borderId="0" xfId="0" applyNumberFormat="1" applyFont="1" applyFill="1" applyBorder="1"/>
    <xf numFmtId="171" fontId="21" fillId="0" borderId="0" xfId="3" applyNumberFormat="1" applyFont="1" applyFill="1" applyBorder="1" applyAlignment="1">
      <alignment horizontal="left"/>
    </xf>
    <xf numFmtId="173" fontId="21" fillId="0" borderId="0" xfId="0" applyNumberFormat="1" applyFont="1" applyFill="1" applyBorder="1"/>
    <xf numFmtId="0" fontId="0" fillId="0" borderId="8" xfId="0" applyFill="1" applyBorder="1"/>
    <xf numFmtId="0" fontId="0" fillId="0" borderId="6" xfId="0" applyFill="1" applyBorder="1"/>
    <xf numFmtId="0" fontId="0" fillId="9" borderId="0" xfId="0" applyFill="1" applyBorder="1"/>
    <xf numFmtId="0" fontId="0" fillId="9" borderId="15" xfId="0" applyFill="1" applyBorder="1"/>
    <xf numFmtId="0" fontId="0" fillId="9" borderId="44" xfId="0" applyFill="1" applyBorder="1"/>
    <xf numFmtId="0" fontId="0" fillId="9" borderId="7" xfId="0" applyFill="1" applyBorder="1"/>
    <xf numFmtId="0" fontId="0" fillId="9" borderId="39" xfId="0" applyFill="1" applyBorder="1"/>
    <xf numFmtId="0" fontId="16" fillId="9" borderId="0" xfId="0" applyFont="1" applyFill="1" applyBorder="1"/>
    <xf numFmtId="0" fontId="21" fillId="9" borderId="0" xfId="0" applyFont="1" applyFill="1" applyBorder="1"/>
    <xf numFmtId="0" fontId="10" fillId="9" borderId="0" xfId="0" applyFont="1" applyFill="1" applyBorder="1"/>
    <xf numFmtId="174" fontId="21" fillId="0" borderId="0" xfId="0" applyNumberFormat="1" applyFont="1" applyFill="1" applyBorder="1"/>
    <xf numFmtId="0" fontId="0" fillId="0" borderId="44" xfId="0" applyFill="1" applyBorder="1"/>
    <xf numFmtId="0" fontId="0" fillId="0" borderId="7" xfId="0" applyFill="1" applyBorder="1"/>
    <xf numFmtId="0" fontId="0" fillId="0" borderId="39" xfId="0" applyFill="1" applyBorder="1"/>
    <xf numFmtId="166" fontId="21" fillId="0" borderId="0" xfId="3" applyNumberFormat="1" applyFont="1" applyFill="1" applyBorder="1" applyAlignment="1">
      <alignment horizontal="right"/>
    </xf>
    <xf numFmtId="0" fontId="21" fillId="23" borderId="0" xfId="0" applyFont="1" applyFill="1" applyBorder="1"/>
    <xf numFmtId="0" fontId="4" fillId="4" borderId="66" xfId="0" applyFont="1" applyFill="1" applyBorder="1"/>
    <xf numFmtId="0" fontId="10" fillId="0" borderId="26" xfId="0" applyFont="1" applyFill="1" applyBorder="1"/>
    <xf numFmtId="165" fontId="4" fillId="0" borderId="34" xfId="0" applyNumberFormat="1" applyFont="1" applyFill="1" applyBorder="1"/>
    <xf numFmtId="0" fontId="21" fillId="26" borderId="21" xfId="0" applyFont="1" applyFill="1" applyBorder="1"/>
    <xf numFmtId="0" fontId="2" fillId="0" borderId="10" xfId="0" applyFont="1" applyBorder="1"/>
    <xf numFmtId="0" fontId="0" fillId="0" borderId="19" xfId="0" applyBorder="1"/>
    <xf numFmtId="0" fontId="0" fillId="0" borderId="11" xfId="0" applyBorder="1"/>
    <xf numFmtId="0" fontId="0" fillId="0" borderId="13" xfId="0" applyBorder="1"/>
    <xf numFmtId="0" fontId="0" fillId="0" borderId="14" xfId="0" applyBorder="1"/>
    <xf numFmtId="0" fontId="0" fillId="0" borderId="53" xfId="0" applyFont="1" applyFill="1" applyBorder="1"/>
    <xf numFmtId="170" fontId="2" fillId="23" borderId="3" xfId="0" applyNumberFormat="1" applyFont="1" applyFill="1" applyBorder="1" applyAlignment="1">
      <alignment horizontal="left"/>
    </xf>
    <xf numFmtId="169" fontId="2" fillId="23" borderId="3" xfId="0" applyNumberFormat="1" applyFont="1" applyFill="1" applyBorder="1" applyAlignment="1">
      <alignment horizontal="left"/>
    </xf>
    <xf numFmtId="169" fontId="2" fillId="23" borderId="5" xfId="0" applyNumberFormat="1" applyFont="1" applyFill="1" applyBorder="1" applyAlignment="1">
      <alignment horizontal="left"/>
    </xf>
    <xf numFmtId="0" fontId="2" fillId="9" borderId="0" xfId="0" applyFont="1" applyFill="1" applyBorder="1"/>
    <xf numFmtId="0" fontId="2" fillId="9" borderId="4" xfId="0" applyFont="1" applyFill="1" applyBorder="1"/>
    <xf numFmtId="0" fontId="32" fillId="9" borderId="0" xfId="0" applyFont="1" applyFill="1" applyBorder="1"/>
    <xf numFmtId="0" fontId="7" fillId="9" borderId="0" xfId="0" applyFont="1" applyFill="1" applyBorder="1"/>
    <xf numFmtId="0" fontId="50" fillId="9" borderId="0" xfId="0" applyFont="1" applyFill="1" applyBorder="1"/>
    <xf numFmtId="0" fontId="50" fillId="9" borderId="4" xfId="0" applyFont="1" applyFill="1" applyBorder="1"/>
    <xf numFmtId="0" fontId="51" fillId="9" borderId="0" xfId="0" applyFont="1" applyFill="1" applyBorder="1"/>
    <xf numFmtId="0" fontId="51" fillId="9" borderId="4" xfId="0" applyFont="1" applyFill="1" applyBorder="1"/>
    <xf numFmtId="0" fontId="51" fillId="9" borderId="6" xfId="0" applyFont="1" applyFill="1" applyBorder="1"/>
    <xf numFmtId="0" fontId="2" fillId="9" borderId="8" xfId="0" applyFont="1" applyFill="1" applyBorder="1"/>
    <xf numFmtId="0" fontId="7" fillId="9" borderId="8" xfId="0" applyFont="1" applyFill="1" applyBorder="1"/>
    <xf numFmtId="0" fontId="0" fillId="25" borderId="0" xfId="0" applyFill="1" applyBorder="1"/>
    <xf numFmtId="0" fontId="0" fillId="25" borderId="0" xfId="0" applyFill="1"/>
    <xf numFmtId="170" fontId="21" fillId="0" borderId="0" xfId="0" applyNumberFormat="1" applyFont="1" applyFill="1" applyBorder="1"/>
    <xf numFmtId="175" fontId="21" fillId="9" borderId="0" xfId="0" applyNumberFormat="1" applyFont="1" applyFill="1" applyBorder="1"/>
    <xf numFmtId="2" fontId="17" fillId="0" borderId="16" xfId="0" applyNumberFormat="1" applyFont="1" applyBorder="1" applyAlignment="1">
      <alignment horizontal="center"/>
    </xf>
    <xf numFmtId="0" fontId="33" fillId="0" borderId="0" xfId="0" applyFont="1" applyAlignment="1">
      <alignment horizontal="left"/>
    </xf>
    <xf numFmtId="0" fontId="33" fillId="0" borderId="8" xfId="0" applyFont="1" applyBorder="1" applyAlignment="1"/>
    <xf numFmtId="0" fontId="33" fillId="0" borderId="0" xfId="0" applyFont="1" applyAlignment="1" applyProtection="1">
      <alignment horizontal="left"/>
    </xf>
    <xf numFmtId="0" fontId="33" fillId="0" borderId="0" xfId="0" applyFont="1" applyAlignment="1" applyProtection="1">
      <alignment horizontal="right"/>
    </xf>
    <xf numFmtId="0" fontId="33" fillId="0" borderId="8" xfId="0" applyFont="1" applyBorder="1" applyAlignment="1" applyProtection="1"/>
    <xf numFmtId="0" fontId="33" fillId="0" borderId="8" xfId="0" applyFont="1" applyBorder="1" applyAlignment="1" applyProtection="1">
      <alignment horizontal="right"/>
    </xf>
    <xf numFmtId="0" fontId="17" fillId="0" borderId="8" xfId="0" applyFont="1" applyBorder="1" applyProtection="1"/>
    <xf numFmtId="0" fontId="33" fillId="0" borderId="8" xfId="0" applyFont="1" applyBorder="1" applyAlignment="1" applyProtection="1">
      <alignment horizontal="right" vertical="center"/>
    </xf>
    <xf numFmtId="0" fontId="17" fillId="0" borderId="16" xfId="0" applyFont="1" applyFill="1" applyBorder="1" applyProtection="1"/>
    <xf numFmtId="0" fontId="21" fillId="4" borderId="25" xfId="0" applyFont="1" applyFill="1" applyBorder="1" applyAlignment="1" applyProtection="1">
      <alignment horizontal="center" vertical="center" wrapText="1"/>
    </xf>
    <xf numFmtId="0" fontId="17" fillId="4" borderId="21" xfId="0" applyFont="1" applyFill="1" applyBorder="1" applyAlignment="1" applyProtection="1">
      <alignment horizontal="center" vertical="center" wrapText="1"/>
    </xf>
    <xf numFmtId="0" fontId="17" fillId="4" borderId="21" xfId="0" applyFont="1" applyFill="1" applyBorder="1" applyAlignment="1" applyProtection="1">
      <alignment vertical="center"/>
    </xf>
    <xf numFmtId="168" fontId="4" fillId="0" borderId="34" xfId="0" applyNumberFormat="1" applyFont="1" applyFill="1" applyBorder="1"/>
    <xf numFmtId="168" fontId="4" fillId="0" borderId="22" xfId="0" applyNumberFormat="1" applyFont="1" applyFill="1" applyBorder="1"/>
    <xf numFmtId="0" fontId="4" fillId="0" borderId="26" xfId="0" applyFont="1" applyFill="1" applyBorder="1"/>
    <xf numFmtId="43" fontId="4" fillId="0" borderId="34" xfId="0" applyNumberFormat="1" applyFont="1" applyFill="1" applyBorder="1"/>
    <xf numFmtId="43" fontId="4" fillId="0" borderId="22" xfId="0" applyNumberFormat="1" applyFont="1" applyFill="1" applyBorder="1"/>
    <xf numFmtId="2" fontId="4" fillId="7" borderId="0" xfId="0" applyNumberFormat="1" applyFont="1" applyFill="1" applyBorder="1"/>
    <xf numFmtId="165" fontId="4" fillId="7" borderId="10" xfId="0" applyNumberFormat="1" applyFont="1" applyFill="1" applyBorder="1"/>
    <xf numFmtId="165" fontId="4" fillId="7" borderId="11" xfId="0" applyNumberFormat="1" applyFont="1" applyFill="1" applyBorder="1"/>
    <xf numFmtId="165" fontId="4" fillId="7" borderId="0" xfId="3" applyNumberFormat="1" applyFont="1" applyFill="1" applyBorder="1"/>
    <xf numFmtId="165" fontId="4" fillId="7" borderId="0" xfId="0" applyNumberFormat="1" applyFont="1" applyFill="1" applyBorder="1"/>
    <xf numFmtId="166" fontId="4" fillId="7" borderId="13" xfId="0" applyNumberFormat="1" applyFont="1" applyFill="1" applyBorder="1"/>
    <xf numFmtId="165" fontId="4" fillId="7" borderId="14" xfId="0" applyNumberFormat="1" applyFont="1" applyFill="1" applyBorder="1"/>
    <xf numFmtId="0" fontId="10" fillId="7" borderId="26" xfId="0" applyFont="1" applyFill="1" applyBorder="1"/>
    <xf numFmtId="165" fontId="4" fillId="7" borderId="34" xfId="0" applyNumberFormat="1" applyFont="1" applyFill="1" applyBorder="1"/>
    <xf numFmtId="166" fontId="4" fillId="7" borderId="22" xfId="0" applyNumberFormat="1" applyFont="1" applyFill="1" applyBorder="1"/>
    <xf numFmtId="166" fontId="4" fillId="0" borderId="4" xfId="3" applyNumberFormat="1" applyFont="1" applyFill="1" applyBorder="1" applyAlignment="1"/>
    <xf numFmtId="0" fontId="0" fillId="27" borderId="0" xfId="0" applyFill="1" applyBorder="1"/>
    <xf numFmtId="0" fontId="0" fillId="27" borderId="15" xfId="0" applyFill="1" applyBorder="1"/>
    <xf numFmtId="0" fontId="0" fillId="27" borderId="44" xfId="0" applyFill="1" applyBorder="1"/>
    <xf numFmtId="0" fontId="0" fillId="27" borderId="7" xfId="0" applyFill="1" applyBorder="1"/>
    <xf numFmtId="0" fontId="2" fillId="27" borderId="0" xfId="0" applyFont="1" applyFill="1" applyBorder="1"/>
    <xf numFmtId="0" fontId="2" fillId="27" borderId="4" xfId="0" applyFont="1" applyFill="1" applyBorder="1"/>
    <xf numFmtId="0" fontId="7" fillId="27" borderId="0" xfId="0" applyFont="1" applyFill="1" applyBorder="1"/>
    <xf numFmtId="0" fontId="0" fillId="27" borderId="39" xfId="0" applyFill="1" applyBorder="1"/>
    <xf numFmtId="0" fontId="21" fillId="27" borderId="0" xfId="0" applyFont="1" applyFill="1" applyBorder="1"/>
    <xf numFmtId="0" fontId="16" fillId="27" borderId="0" xfId="0" applyFont="1" applyFill="1" applyBorder="1"/>
    <xf numFmtId="0" fontId="10" fillId="27" borderId="0" xfId="0" applyFont="1" applyFill="1" applyBorder="1"/>
    <xf numFmtId="0" fontId="0" fillId="27" borderId="14" xfId="0" applyFill="1" applyBorder="1"/>
    <xf numFmtId="0" fontId="7" fillId="27" borderId="15" xfId="0" applyFont="1" applyFill="1" applyBorder="1"/>
    <xf numFmtId="0" fontId="2" fillId="27" borderId="15" xfId="0" applyFont="1" applyFill="1" applyBorder="1"/>
    <xf numFmtId="0" fontId="2" fillId="27" borderId="44" xfId="0" applyFont="1" applyFill="1" applyBorder="1"/>
    <xf numFmtId="14" fontId="21" fillId="0" borderId="9" xfId="0" applyNumberFormat="1" applyFont="1" applyFill="1" applyBorder="1"/>
    <xf numFmtId="0" fontId="4" fillId="27" borderId="8" xfId="0" applyFont="1" applyFill="1" applyBorder="1"/>
    <xf numFmtId="0" fontId="0" fillId="27" borderId="8" xfId="0" applyFont="1" applyFill="1" applyBorder="1"/>
    <xf numFmtId="0" fontId="0" fillId="27" borderId="6" xfId="0" applyFont="1" applyFill="1" applyBorder="1"/>
    <xf numFmtId="0" fontId="17" fillId="0" borderId="16" xfId="0" applyFont="1" applyBorder="1" applyAlignment="1">
      <alignment horizontal="left"/>
    </xf>
    <xf numFmtId="0" fontId="17" fillId="0" borderId="24" xfId="0" applyFont="1" applyBorder="1" applyAlignment="1">
      <alignment horizontal="left"/>
    </xf>
    <xf numFmtId="0" fontId="17" fillId="0" borderId="18" xfId="0" applyFont="1" applyBorder="1" applyAlignment="1">
      <alignment horizontal="left"/>
    </xf>
    <xf numFmtId="44" fontId="2" fillId="0" borderId="0" xfId="1" applyFont="1" applyBorder="1" applyAlignment="1">
      <alignment vertical="center"/>
    </xf>
    <xf numFmtId="44" fontId="2" fillId="0" borderId="0" xfId="0" applyNumberFormat="1" applyFont="1" applyBorder="1" applyAlignment="1">
      <alignment vertical="center"/>
    </xf>
    <xf numFmtId="0" fontId="7" fillId="0" borderId="0" xfId="0" applyFont="1" applyFill="1" applyAlignment="1">
      <alignment horizontal="left" wrapText="1"/>
    </xf>
    <xf numFmtId="0" fontId="52" fillId="0" borderId="0" xfId="0" applyFont="1" applyFill="1"/>
    <xf numFmtId="0" fontId="52" fillId="0" borderId="0" xfId="0" applyFont="1" applyFill="1" applyAlignment="1">
      <alignment horizontal="center"/>
    </xf>
    <xf numFmtId="0" fontId="53" fillId="0" borderId="0" xfId="0" applyFont="1" applyAlignment="1">
      <alignment horizontal="center"/>
    </xf>
    <xf numFmtId="0" fontId="7" fillId="0" borderId="16" xfId="0" applyFont="1" applyFill="1" applyBorder="1" applyAlignment="1">
      <alignment horizontal="center"/>
    </xf>
    <xf numFmtId="0" fontId="22" fillId="0" borderId="17" xfId="0" applyFont="1" applyFill="1" applyBorder="1" applyAlignment="1">
      <alignment horizontal="center"/>
    </xf>
    <xf numFmtId="14" fontId="21" fillId="0" borderId="11" xfId="0" applyNumberFormat="1" applyFont="1" applyFill="1" applyBorder="1"/>
    <xf numFmtId="44" fontId="21" fillId="0" borderId="7" xfId="1" applyNumberFormat="1" applyFont="1" applyFill="1" applyBorder="1"/>
    <xf numFmtId="14" fontId="21" fillId="0" borderId="67" xfId="0" applyNumberFormat="1" applyFont="1" applyFill="1" applyBorder="1"/>
    <xf numFmtId="0" fontId="4" fillId="0" borderId="39" xfId="0" applyFont="1" applyFill="1" applyBorder="1"/>
    <xf numFmtId="14" fontId="21" fillId="0" borderId="7" xfId="0" applyNumberFormat="1" applyFont="1" applyFill="1" applyBorder="1"/>
    <xf numFmtId="0" fontId="0" fillId="6" borderId="15" xfId="0" applyFill="1" applyBorder="1"/>
    <xf numFmtId="1" fontId="0" fillId="6" borderId="15" xfId="0" applyNumberFormat="1" applyFill="1" applyBorder="1" applyAlignment="1">
      <alignment horizontal="left"/>
    </xf>
    <xf numFmtId="0" fontId="18" fillId="3" borderId="25" xfId="0" applyFont="1" applyFill="1" applyBorder="1" applyProtection="1">
      <protection locked="0"/>
    </xf>
    <xf numFmtId="0" fontId="24" fillId="0" borderId="0" xfId="0" applyFont="1"/>
    <xf numFmtId="0" fontId="22" fillId="0" borderId="12" xfId="0" applyFont="1" applyFill="1" applyBorder="1" applyAlignment="1">
      <alignment horizontal="right"/>
    </xf>
    <xf numFmtId="0" fontId="22" fillId="8" borderId="68" xfId="0" applyFont="1" applyFill="1" applyBorder="1" applyAlignment="1" applyProtection="1">
      <alignment horizontal="center"/>
      <protection locked="0"/>
    </xf>
    <xf numFmtId="0" fontId="14" fillId="0" borderId="17" xfId="0" applyFont="1" applyFill="1" applyBorder="1" applyAlignment="1">
      <alignment horizontal="center"/>
    </xf>
    <xf numFmtId="0" fontId="14" fillId="0" borderId="1" xfId="0" applyFont="1" applyFill="1" applyBorder="1" applyAlignment="1">
      <alignment horizontal="center"/>
    </xf>
    <xf numFmtId="0" fontId="14" fillId="0" borderId="2" xfId="0" applyFont="1" applyFill="1" applyBorder="1" applyAlignment="1">
      <alignment horizontal="center"/>
    </xf>
    <xf numFmtId="0" fontId="17" fillId="4" borderId="0" xfId="0" applyFont="1" applyFill="1" applyBorder="1"/>
    <xf numFmtId="0" fontId="17" fillId="4" borderId="4" xfId="0" applyFont="1" applyFill="1" applyBorder="1"/>
    <xf numFmtId="0" fontId="22" fillId="8" borderId="49" xfId="0" applyFont="1" applyFill="1" applyBorder="1" applyAlignment="1" applyProtection="1">
      <alignment horizontal="center"/>
      <protection locked="0"/>
    </xf>
    <xf numFmtId="0" fontId="21" fillId="8" borderId="50" xfId="0" applyFont="1" applyFill="1" applyBorder="1" applyAlignment="1" applyProtection="1">
      <alignment horizontal="center"/>
      <protection locked="0"/>
    </xf>
    <xf numFmtId="0" fontId="21" fillId="0" borderId="29" xfId="0" applyFont="1" applyFill="1" applyBorder="1" applyAlignment="1">
      <alignment horizontal="center"/>
    </xf>
    <xf numFmtId="0" fontId="3" fillId="0" borderId="0" xfId="0" applyFont="1" applyBorder="1" applyAlignment="1">
      <alignment wrapText="1"/>
    </xf>
    <xf numFmtId="169" fontId="21" fillId="23" borderId="0" xfId="0" applyNumberFormat="1" applyFont="1" applyFill="1" applyBorder="1"/>
    <xf numFmtId="168" fontId="21" fillId="0" borderId="0" xfId="1" applyNumberFormat="1" applyFont="1" applyFill="1" applyBorder="1"/>
    <xf numFmtId="2" fontId="4" fillId="11" borderId="0" xfId="0" applyNumberFormat="1" applyFont="1" applyFill="1" applyBorder="1" applyAlignment="1">
      <alignment horizontal="right"/>
    </xf>
    <xf numFmtId="0" fontId="48" fillId="0" borderId="0" xfId="0" applyFont="1" applyFill="1" applyBorder="1" applyAlignment="1">
      <alignment vertical="center"/>
    </xf>
    <xf numFmtId="0" fontId="6" fillId="0" borderId="0" xfId="0" applyFont="1" applyFill="1" applyBorder="1" applyAlignment="1"/>
    <xf numFmtId="0" fontId="14" fillId="0" borderId="5" xfId="0" applyFont="1" applyFill="1" applyBorder="1" applyAlignment="1">
      <alignment horizontal="center"/>
    </xf>
    <xf numFmtId="0" fontId="14" fillId="0" borderId="8" xfId="0" applyFont="1" applyFill="1" applyBorder="1" applyAlignment="1">
      <alignment horizontal="center"/>
    </xf>
    <xf numFmtId="0" fontId="40" fillId="8" borderId="13" xfId="0" applyFont="1" applyFill="1" applyBorder="1" applyAlignment="1">
      <alignment horizontal="center" vertical="center"/>
    </xf>
    <xf numFmtId="0" fontId="23" fillId="8" borderId="15" xfId="0" applyFont="1" applyFill="1" applyBorder="1" applyAlignment="1" applyProtection="1">
      <alignment horizontal="center" vertical="center"/>
      <protection locked="0"/>
    </xf>
    <xf numFmtId="0" fontId="14" fillId="0" borderId="6" xfId="0" applyFont="1" applyFill="1" applyBorder="1" applyAlignment="1">
      <alignment horizontal="center"/>
    </xf>
    <xf numFmtId="0" fontId="24" fillId="0" borderId="0" xfId="0" applyFont="1" applyProtection="1"/>
    <xf numFmtId="0" fontId="24" fillId="0" borderId="0" xfId="0" applyFont="1" applyAlignment="1" applyProtection="1">
      <alignment vertical="center"/>
    </xf>
    <xf numFmtId="0" fontId="28" fillId="0" borderId="0" xfId="0" applyFont="1" applyFill="1" applyProtection="1"/>
    <xf numFmtId="0" fontId="0" fillId="0" borderId="0" xfId="0" applyFont="1" applyFill="1" applyProtection="1"/>
    <xf numFmtId="0" fontId="0" fillId="8" borderId="0" xfId="0" applyFont="1" applyFill="1" applyAlignment="1" applyProtection="1">
      <alignment vertical="center"/>
    </xf>
    <xf numFmtId="0" fontId="54" fillId="0" borderId="0" xfId="0" applyFont="1" applyFill="1" applyBorder="1"/>
    <xf numFmtId="44" fontId="24" fillId="0" borderId="0" xfId="1" applyFont="1"/>
    <xf numFmtId="165" fontId="4" fillId="7" borderId="12" xfId="0" applyNumberFormat="1" applyFont="1" applyFill="1" applyBorder="1"/>
    <xf numFmtId="165" fontId="4" fillId="7" borderId="7" xfId="0" applyNumberFormat="1" applyFont="1" applyFill="1" applyBorder="1"/>
    <xf numFmtId="165" fontId="4" fillId="7" borderId="13" xfId="0" applyNumberFormat="1" applyFont="1" applyFill="1" applyBorder="1"/>
    <xf numFmtId="165" fontId="4" fillId="7" borderId="22" xfId="0" applyNumberFormat="1" applyFont="1" applyFill="1" applyBorder="1"/>
    <xf numFmtId="43" fontId="4" fillId="0" borderId="26" xfId="0" applyNumberFormat="1" applyFont="1" applyFill="1" applyBorder="1"/>
    <xf numFmtId="0" fontId="4" fillId="0" borderId="7" xfId="0" applyNumberFormat="1" applyFont="1" applyFill="1" applyBorder="1"/>
    <xf numFmtId="44" fontId="4" fillId="0" borderId="7" xfId="1" applyFont="1" applyFill="1" applyBorder="1"/>
    <xf numFmtId="0" fontId="2" fillId="0" borderId="0" xfId="0" applyFont="1" applyFill="1" applyAlignment="1"/>
    <xf numFmtId="0" fontId="0" fillId="0" borderId="3" xfId="0" applyFont="1" applyBorder="1"/>
    <xf numFmtId="0" fontId="33" fillId="0" borderId="0" xfId="0" applyFont="1" applyBorder="1" applyAlignment="1">
      <alignment horizontal="right"/>
    </xf>
    <xf numFmtId="0" fontId="0" fillId="0" borderId="5" xfId="0" applyFont="1" applyBorder="1"/>
    <xf numFmtId="0" fontId="17" fillId="0" borderId="0" xfId="0" applyFont="1" applyFill="1"/>
    <xf numFmtId="0" fontId="4" fillId="0" borderId="0" xfId="0" quotePrefix="1" applyFont="1" applyFill="1" applyBorder="1" applyAlignment="1">
      <alignment horizontal="left"/>
    </xf>
    <xf numFmtId="166" fontId="4" fillId="7" borderId="12" xfId="0" applyNumberFormat="1" applyFont="1" applyFill="1" applyBorder="1"/>
    <xf numFmtId="44" fontId="0" fillId="0" borderId="0" xfId="0" applyNumberFormat="1"/>
    <xf numFmtId="10" fontId="17" fillId="0" borderId="16" xfId="0" applyNumberFormat="1" applyFont="1" applyFill="1" applyBorder="1" applyAlignment="1">
      <alignment horizontal="center"/>
    </xf>
    <xf numFmtId="44" fontId="19" fillId="0" borderId="0" xfId="0" applyNumberFormat="1" applyFont="1"/>
    <xf numFmtId="0" fontId="22" fillId="0" borderId="0" xfId="0" applyFont="1" applyFill="1" applyBorder="1" applyAlignment="1">
      <alignment horizontal="right"/>
    </xf>
    <xf numFmtId="0" fontId="21" fillId="0" borderId="0" xfId="0" applyFont="1" applyFill="1" applyBorder="1" applyAlignment="1">
      <alignment horizontal="right"/>
    </xf>
    <xf numFmtId="0" fontId="7" fillId="0" borderId="0" xfId="0" applyFont="1" applyFill="1" applyAlignment="1">
      <alignment horizontal="left" wrapText="1"/>
    </xf>
    <xf numFmtId="0" fontId="26" fillId="0" borderId="0" xfId="0" applyFont="1" applyFill="1"/>
    <xf numFmtId="0" fontId="26" fillId="0" borderId="0" xfId="0" applyFont="1" applyFill="1" applyBorder="1"/>
    <xf numFmtId="0" fontId="21" fillId="0" borderId="69" xfId="0" applyFont="1" applyFill="1" applyBorder="1" applyAlignment="1">
      <alignment horizontal="center"/>
    </xf>
    <xf numFmtId="0" fontId="17" fillId="4" borderId="45" xfId="0" applyFont="1" applyFill="1" applyBorder="1"/>
    <xf numFmtId="0" fontId="17" fillId="4" borderId="21" xfId="0" applyFont="1" applyFill="1" applyBorder="1"/>
    <xf numFmtId="0" fontId="17" fillId="4" borderId="70" xfId="0" applyFont="1" applyFill="1" applyBorder="1"/>
    <xf numFmtId="0" fontId="21" fillId="8" borderId="16" xfId="0" applyFont="1" applyFill="1" applyBorder="1" applyAlignment="1" applyProtection="1">
      <alignment horizontal="center"/>
      <protection locked="0"/>
    </xf>
    <xf numFmtId="43" fontId="4" fillId="25" borderId="0" xfId="0" applyNumberFormat="1" applyFont="1" applyFill="1" applyBorder="1"/>
    <xf numFmtId="0" fontId="22" fillId="0" borderId="18" xfId="0" applyFont="1" applyFill="1" applyBorder="1" applyAlignment="1" applyProtection="1">
      <alignment horizontal="center"/>
    </xf>
    <xf numFmtId="0" fontId="22" fillId="0" borderId="46" xfId="0" applyFont="1" applyFill="1" applyBorder="1" applyAlignment="1" applyProtection="1">
      <alignment horizontal="center"/>
    </xf>
    <xf numFmtId="0" fontId="3" fillId="0" borderId="0" xfId="0" applyFont="1" applyAlignment="1" applyProtection="1">
      <alignment wrapText="1"/>
    </xf>
    <xf numFmtId="0" fontId="3" fillId="0" borderId="0" xfId="0" applyFont="1" applyBorder="1" applyAlignment="1" applyProtection="1">
      <alignment wrapText="1"/>
    </xf>
    <xf numFmtId="0" fontId="25" fillId="0" borderId="0" xfId="0" applyFont="1" applyFill="1" applyAlignment="1" applyProtection="1"/>
    <xf numFmtId="0" fontId="48" fillId="0" borderId="0" xfId="0" applyFont="1" applyFill="1" applyBorder="1" applyAlignment="1" applyProtection="1">
      <alignment vertical="center"/>
    </xf>
    <xf numFmtId="0" fontId="20" fillId="0" borderId="0" xfId="0" applyFont="1" applyFill="1" applyAlignment="1" applyProtection="1">
      <alignment horizontal="left"/>
    </xf>
    <xf numFmtId="0" fontId="6" fillId="0" borderId="0" xfId="0" applyFont="1" applyFill="1" applyBorder="1" applyAlignment="1" applyProtection="1"/>
    <xf numFmtId="0" fontId="20" fillId="0" borderId="0" xfId="0" applyFont="1" applyFill="1" applyAlignment="1" applyProtection="1">
      <alignment horizontal="center"/>
    </xf>
    <xf numFmtId="0" fontId="26" fillId="0" borderId="0" xfId="0" applyFont="1" applyFill="1" applyProtection="1"/>
    <xf numFmtId="0" fontId="0" fillId="0" borderId="0" xfId="0" applyFill="1" applyProtection="1"/>
    <xf numFmtId="0" fontId="17" fillId="4" borderId="45" xfId="0" applyFont="1" applyFill="1" applyBorder="1" applyProtection="1"/>
    <xf numFmtId="0" fontId="17" fillId="4" borderId="21" xfId="0" applyFont="1" applyFill="1" applyBorder="1" applyProtection="1"/>
    <xf numFmtId="0" fontId="17" fillId="4" borderId="15" xfId="0" applyFont="1" applyFill="1" applyBorder="1" applyProtection="1"/>
    <xf numFmtId="0" fontId="17" fillId="4" borderId="44" xfId="0" applyFont="1" applyFill="1" applyBorder="1" applyProtection="1"/>
    <xf numFmtId="0" fontId="18" fillId="4" borderId="19" xfId="0" applyFont="1" applyFill="1" applyBorder="1" applyProtection="1"/>
    <xf numFmtId="0" fontId="19" fillId="0" borderId="0" xfId="0" applyFont="1" applyProtection="1"/>
    <xf numFmtId="0" fontId="19" fillId="0" borderId="0" xfId="0" applyFont="1" applyBorder="1" applyProtection="1"/>
    <xf numFmtId="0" fontId="17" fillId="0" borderId="18" xfId="0" applyFont="1" applyBorder="1" applyProtection="1"/>
    <xf numFmtId="0" fontId="17" fillId="0" borderId="16" xfId="0" applyFont="1" applyBorder="1" applyProtection="1"/>
    <xf numFmtId="0" fontId="17" fillId="0" borderId="16" xfId="0" applyFont="1" applyBorder="1" applyAlignment="1" applyProtection="1">
      <alignment horizontal="center"/>
    </xf>
    <xf numFmtId="0" fontId="17" fillId="0" borderId="46" xfId="0" applyFont="1" applyBorder="1" applyProtection="1"/>
    <xf numFmtId="0" fontId="17" fillId="0" borderId="18" xfId="0" applyFont="1" applyBorder="1" applyAlignment="1" applyProtection="1">
      <alignment horizontal="center"/>
    </xf>
    <xf numFmtId="0" fontId="17" fillId="0" borderId="16" xfId="0" applyFont="1" applyBorder="1" applyAlignment="1" applyProtection="1">
      <alignment horizontal="left"/>
    </xf>
    <xf numFmtId="10" fontId="17" fillId="0" borderId="16" xfId="0" applyNumberFormat="1" applyFont="1" applyFill="1" applyBorder="1" applyAlignment="1" applyProtection="1">
      <alignment horizontal="center"/>
    </xf>
    <xf numFmtId="172" fontId="17" fillId="0" borderId="16" xfId="0" applyNumberFormat="1" applyFont="1" applyBorder="1" applyAlignment="1" applyProtection="1">
      <alignment horizontal="center"/>
    </xf>
    <xf numFmtId="2" fontId="17" fillId="0" borderId="16" xfId="0" applyNumberFormat="1" applyFont="1" applyBorder="1" applyAlignment="1" applyProtection="1">
      <alignment horizontal="center"/>
    </xf>
    <xf numFmtId="164" fontId="17" fillId="0" borderId="16" xfId="0" applyNumberFormat="1" applyFont="1" applyBorder="1" applyProtection="1"/>
    <xf numFmtId="164" fontId="17" fillId="0" borderId="46" xfId="0" applyNumberFormat="1" applyFont="1" applyBorder="1" applyProtection="1"/>
    <xf numFmtId="44" fontId="18" fillId="20" borderId="0" xfId="0" applyNumberFormat="1" applyFont="1" applyFill="1" applyProtection="1"/>
    <xf numFmtId="0" fontId="17" fillId="0" borderId="16" xfId="0" applyFont="1" applyFill="1" applyBorder="1" applyAlignment="1" applyProtection="1">
      <alignment horizontal="center"/>
    </xf>
    <xf numFmtId="0" fontId="17" fillId="0" borderId="26" xfId="0" applyFont="1" applyBorder="1" applyProtection="1"/>
    <xf numFmtId="172" fontId="17" fillId="0" borderId="26" xfId="0" applyNumberFormat="1" applyFont="1" applyBorder="1" applyAlignment="1" applyProtection="1">
      <alignment horizontal="center"/>
    </xf>
    <xf numFmtId="0" fontId="17" fillId="0" borderId="26" xfId="0" applyFont="1" applyBorder="1" applyAlignment="1" applyProtection="1">
      <alignment horizontal="center"/>
    </xf>
    <xf numFmtId="0" fontId="17" fillId="0" borderId="24" xfId="0" applyFont="1" applyBorder="1" applyAlignment="1" applyProtection="1">
      <alignment horizontal="left"/>
    </xf>
    <xf numFmtId="0" fontId="17" fillId="0" borderId="24" xfId="0" applyFont="1" applyBorder="1" applyAlignment="1" applyProtection="1">
      <alignment horizontal="center"/>
    </xf>
    <xf numFmtId="166" fontId="18" fillId="0" borderId="21" xfId="3" applyNumberFormat="1" applyFont="1" applyBorder="1" applyAlignment="1" applyProtection="1">
      <alignment horizontal="center"/>
    </xf>
    <xf numFmtId="172" fontId="18" fillId="0" borderId="24" xfId="0" applyNumberFormat="1" applyFont="1" applyBorder="1" applyProtection="1"/>
    <xf numFmtId="2" fontId="17" fillId="0" borderId="25" xfId="0" applyNumberFormat="1" applyFont="1" applyBorder="1" applyAlignment="1" applyProtection="1">
      <alignment horizontal="center"/>
    </xf>
    <xf numFmtId="164" fontId="17" fillId="0" borderId="25" xfId="0" applyNumberFormat="1" applyFont="1" applyBorder="1" applyProtection="1"/>
    <xf numFmtId="0" fontId="18" fillId="20" borderId="0" xfId="0" applyFont="1" applyFill="1" applyProtection="1"/>
    <xf numFmtId="0" fontId="26" fillId="0" borderId="0" xfId="0" applyFont="1" applyProtection="1"/>
    <xf numFmtId="44" fontId="38" fillId="20" borderId="0" xfId="0" applyNumberFormat="1" applyFont="1" applyFill="1" applyProtection="1"/>
    <xf numFmtId="0" fontId="17" fillId="0" borderId="49" xfId="0" applyFont="1" applyBorder="1" applyAlignment="1" applyProtection="1">
      <alignment horizontal="left"/>
    </xf>
    <xf numFmtId="0" fontId="17" fillId="0" borderId="18" xfId="0" applyFont="1" applyBorder="1" applyAlignment="1" applyProtection="1">
      <alignment horizontal="left"/>
    </xf>
    <xf numFmtId="0" fontId="33" fillId="0" borderId="3" xfId="0" applyFont="1" applyBorder="1" applyAlignment="1" applyProtection="1">
      <alignment horizontal="left"/>
    </xf>
    <xf numFmtId="0" fontId="33" fillId="0" borderId="0" xfId="0" applyFont="1" applyBorder="1" applyAlignment="1" applyProtection="1">
      <alignment horizontal="left"/>
    </xf>
    <xf numFmtId="164" fontId="33" fillId="0" borderId="0" xfId="0" applyNumberFormat="1" applyFont="1" applyBorder="1" applyAlignment="1" applyProtection="1">
      <alignment horizontal="center"/>
    </xf>
    <xf numFmtId="164" fontId="33" fillId="0" borderId="4" xfId="0" applyNumberFormat="1" applyFont="1" applyBorder="1" applyAlignment="1" applyProtection="1">
      <alignment horizontal="center"/>
    </xf>
    <xf numFmtId="0" fontId="17" fillId="0" borderId="24" xfId="0" applyFont="1" applyBorder="1" applyAlignment="1" applyProtection="1"/>
    <xf numFmtId="0" fontId="14" fillId="0" borderId="1" xfId="0" applyFont="1" applyFill="1" applyBorder="1" applyAlignment="1" applyProtection="1">
      <alignment horizontal="center"/>
    </xf>
    <xf numFmtId="0" fontId="14" fillId="0" borderId="2" xfId="0" applyFont="1" applyFill="1" applyBorder="1" applyAlignment="1" applyProtection="1">
      <alignment horizontal="center"/>
    </xf>
    <xf numFmtId="0" fontId="21" fillId="0" borderId="69" xfId="0" applyFont="1" applyFill="1" applyBorder="1" applyAlignment="1" applyProtection="1">
      <alignment horizontal="center"/>
    </xf>
    <xf numFmtId="0" fontId="17" fillId="4" borderId="70" xfId="0" applyFont="1" applyFill="1" applyBorder="1" applyProtection="1"/>
    <xf numFmtId="0" fontId="17" fillId="0" borderId="8" xfId="0" applyFont="1" applyBorder="1" applyAlignment="1" applyProtection="1">
      <alignment horizontal="right"/>
    </xf>
    <xf numFmtId="167" fontId="0" fillId="28" borderId="0" xfId="0" applyNumberFormat="1" applyFill="1" applyBorder="1"/>
    <xf numFmtId="0" fontId="0" fillId="28" borderId="0" xfId="0" applyFill="1"/>
    <xf numFmtId="0" fontId="26" fillId="0" borderId="0" xfId="0" applyNumberFormat="1" applyFont="1" applyAlignment="1">
      <alignment horizontal="center"/>
    </xf>
    <xf numFmtId="0" fontId="26" fillId="0" borderId="0" xfId="0" applyFont="1" applyAlignment="1">
      <alignment horizontal="left"/>
    </xf>
    <xf numFmtId="0" fontId="21" fillId="0" borderId="0" xfId="0" applyFont="1" applyFill="1" applyBorder="1" applyAlignment="1">
      <alignment horizontal="right"/>
    </xf>
    <xf numFmtId="43" fontId="4" fillId="0" borderId="0" xfId="3" quotePrefix="1" applyFont="1" applyFill="1" applyBorder="1"/>
    <xf numFmtId="10" fontId="4" fillId="8" borderId="16" xfId="0" applyNumberFormat="1" applyFont="1" applyFill="1" applyBorder="1"/>
    <xf numFmtId="0" fontId="21" fillId="29" borderId="0" xfId="0" applyFont="1" applyFill="1" applyBorder="1"/>
    <xf numFmtId="169" fontId="21" fillId="0" borderId="0" xfId="0" applyNumberFormat="1" applyFont="1" applyFill="1" applyBorder="1"/>
    <xf numFmtId="0" fontId="16" fillId="0" borderId="12" xfId="0" applyFont="1" applyFill="1" applyBorder="1"/>
    <xf numFmtId="2" fontId="21" fillId="0" borderId="12" xfId="1" applyNumberFormat="1" applyFont="1" applyFill="1" applyBorder="1"/>
    <xf numFmtId="0" fontId="21" fillId="0" borderId="12" xfId="0" applyFont="1" applyFill="1" applyBorder="1"/>
    <xf numFmtId="167" fontId="10" fillId="21" borderId="0" xfId="0" applyNumberFormat="1" applyFont="1" applyFill="1" applyBorder="1"/>
    <xf numFmtId="0" fontId="29" fillId="0" borderId="0" xfId="0" applyFont="1" applyAlignment="1">
      <alignment horizontal="left" vertical="top" wrapText="1"/>
    </xf>
    <xf numFmtId="10" fontId="4" fillId="8" borderId="22" xfId="0" applyNumberFormat="1" applyFont="1" applyFill="1" applyBorder="1" applyAlignment="1" applyProtection="1">
      <alignment horizontal="center"/>
      <protection locked="0"/>
    </xf>
    <xf numFmtId="166" fontId="4" fillId="0" borderId="8" xfId="3" applyNumberFormat="1" applyFont="1" applyFill="1" applyBorder="1"/>
    <xf numFmtId="43" fontId="4" fillId="0" borderId="8" xfId="0" applyNumberFormat="1" applyFont="1" applyFill="1" applyBorder="1" applyAlignment="1">
      <alignment horizontal="right"/>
    </xf>
    <xf numFmtId="0" fontId="4" fillId="0" borderId="8" xfId="0" applyFont="1" applyFill="1" applyBorder="1" applyProtection="1">
      <protection locked="0"/>
    </xf>
    <xf numFmtId="44" fontId="4" fillId="0" borderId="6" xfId="1" applyFont="1" applyFill="1" applyBorder="1"/>
    <xf numFmtId="168" fontId="32" fillId="0" borderId="0" xfId="0" applyNumberFormat="1" applyFont="1" applyFill="1" applyBorder="1"/>
    <xf numFmtId="0" fontId="4" fillId="0" borderId="0" xfId="0" applyNumberFormat="1" applyFont="1" applyFill="1" applyBorder="1"/>
    <xf numFmtId="168" fontId="4" fillId="0" borderId="0" xfId="0" applyNumberFormat="1" applyFont="1" applyFill="1" applyBorder="1" applyAlignment="1">
      <alignment horizontal="right"/>
    </xf>
    <xf numFmtId="43" fontId="4" fillId="0" borderId="16" xfId="0" applyNumberFormat="1" applyFont="1" applyFill="1" applyBorder="1"/>
    <xf numFmtId="0" fontId="4" fillId="7" borderId="0" xfId="0" applyNumberFormat="1" applyFont="1" applyFill="1" applyBorder="1"/>
    <xf numFmtId="43" fontId="4" fillId="7" borderId="12" xfId="0" applyNumberFormat="1" applyFont="1" applyFill="1" applyBorder="1"/>
    <xf numFmtId="166" fontId="4" fillId="0" borderId="0" xfId="1" applyNumberFormat="1" applyFont="1" applyFill="1" applyBorder="1"/>
    <xf numFmtId="0" fontId="56" fillId="0" borderId="0" xfId="0" applyFont="1"/>
    <xf numFmtId="44" fontId="2" fillId="0" borderId="23" xfId="1" applyFont="1" applyFill="1" applyBorder="1" applyAlignment="1" applyProtection="1">
      <alignment vertical="center"/>
    </xf>
    <xf numFmtId="44" fontId="2" fillId="0" borderId="23" xfId="0" applyNumberFormat="1" applyFont="1" applyFill="1" applyBorder="1" applyAlignment="1" applyProtection="1">
      <alignment vertical="center"/>
    </xf>
    <xf numFmtId="0" fontId="0" fillId="0" borderId="0" xfId="0" applyFont="1" applyFill="1" applyAlignment="1"/>
    <xf numFmtId="0" fontId="17" fillId="0" borderId="5" xfId="0" applyFont="1" applyFill="1" applyBorder="1" applyAlignment="1">
      <alignment horizontal="left"/>
    </xf>
    <xf numFmtId="164" fontId="17" fillId="0" borderId="8" xfId="0" applyNumberFormat="1" applyFont="1" applyFill="1" applyBorder="1" applyAlignment="1">
      <alignment horizontal="left"/>
    </xf>
    <xf numFmtId="44" fontId="17" fillId="0" borderId="8" xfId="0" applyNumberFormat="1" applyFont="1" applyFill="1" applyBorder="1" applyAlignment="1"/>
    <xf numFmtId="164" fontId="0" fillId="0" borderId="8" xfId="0" applyNumberFormat="1" applyFill="1" applyBorder="1"/>
    <xf numFmtId="0" fontId="0" fillId="0" borderId="41" xfId="0" applyFill="1" applyBorder="1"/>
    <xf numFmtId="44" fontId="0" fillId="0" borderId="41" xfId="0" applyNumberFormat="1" applyFill="1" applyBorder="1"/>
    <xf numFmtId="0" fontId="0" fillId="0" borderId="42" xfId="0" applyFill="1" applyBorder="1"/>
    <xf numFmtId="10" fontId="17" fillId="24" borderId="16" xfId="0" applyNumberFormat="1" applyFont="1" applyFill="1" applyBorder="1" applyAlignment="1" applyProtection="1">
      <alignment horizontal="center"/>
    </xf>
    <xf numFmtId="172" fontId="17" fillId="24" borderId="16" xfId="0" applyNumberFormat="1" applyFont="1" applyFill="1" applyBorder="1" applyAlignment="1" applyProtection="1">
      <alignment horizontal="center"/>
    </xf>
    <xf numFmtId="2" fontId="17" fillId="24" borderId="16" xfId="0" applyNumberFormat="1" applyFont="1" applyFill="1" applyBorder="1" applyAlignment="1" applyProtection="1">
      <alignment horizontal="center"/>
    </xf>
    <xf numFmtId="0" fontId="17" fillId="24" borderId="16" xfId="0" applyFont="1" applyFill="1" applyBorder="1" applyAlignment="1" applyProtection="1">
      <alignment horizontal="center"/>
    </xf>
    <xf numFmtId="172" fontId="17" fillId="24" borderId="26" xfId="0" applyNumberFormat="1" applyFont="1" applyFill="1" applyBorder="1" applyAlignment="1" applyProtection="1">
      <alignment horizontal="center"/>
    </xf>
    <xf numFmtId="0" fontId="17" fillId="24" borderId="26" xfId="0" applyFont="1" applyFill="1" applyBorder="1" applyAlignment="1" applyProtection="1">
      <alignment horizontal="center"/>
    </xf>
    <xf numFmtId="2" fontId="17" fillId="24" borderId="25" xfId="0" applyNumberFormat="1" applyFont="1" applyFill="1" applyBorder="1" applyAlignment="1" applyProtection="1">
      <alignment horizontal="center"/>
    </xf>
    <xf numFmtId="172" fontId="18" fillId="24" borderId="24" xfId="0" applyNumberFormat="1" applyFont="1" applyFill="1" applyBorder="1" applyProtection="1"/>
    <xf numFmtId="0" fontId="19" fillId="0" borderId="0" xfId="0" applyFont="1" applyFill="1"/>
    <xf numFmtId="0" fontId="18" fillId="0" borderId="0" xfId="0" applyFont="1" applyBorder="1" applyAlignment="1"/>
    <xf numFmtId="44" fontId="17" fillId="0" borderId="0" xfId="1" applyFont="1"/>
    <xf numFmtId="44" fontId="17" fillId="0" borderId="0" xfId="1" applyFont="1" applyBorder="1" applyAlignment="1"/>
    <xf numFmtId="9" fontId="18" fillId="0" borderId="0" xfId="2" applyFont="1"/>
    <xf numFmtId="2" fontId="18" fillId="0" borderId="0" xfId="0" applyNumberFormat="1" applyFont="1"/>
    <xf numFmtId="0" fontId="33" fillId="0" borderId="0" xfId="0" applyFont="1"/>
    <xf numFmtId="44" fontId="33" fillId="0" borderId="0" xfId="1" applyFont="1"/>
    <xf numFmtId="0" fontId="35" fillId="0" borderId="0" xfId="0" applyFont="1" applyAlignment="1">
      <alignment horizontal="center" wrapText="1"/>
    </xf>
    <xf numFmtId="44" fontId="17" fillId="0" borderId="0" xfId="0" applyNumberFormat="1" applyFont="1"/>
    <xf numFmtId="9" fontId="53" fillId="0" borderId="0" xfId="2" applyFont="1"/>
    <xf numFmtId="0" fontId="53" fillId="0" borderId="0" xfId="0" applyFont="1"/>
    <xf numFmtId="2" fontId="53" fillId="0" borderId="0" xfId="0" applyNumberFormat="1" applyFont="1"/>
    <xf numFmtId="44" fontId="53" fillId="0" borderId="0" xfId="1" applyFont="1"/>
    <xf numFmtId="0" fontId="18" fillId="0" borderId="0" xfId="0" applyFont="1" applyAlignment="1">
      <alignment horizontal="center"/>
    </xf>
    <xf numFmtId="44" fontId="57" fillId="0" borderId="0" xfId="1" applyFont="1"/>
    <xf numFmtId="44" fontId="57" fillId="0" borderId="0" xfId="0" applyNumberFormat="1" applyFont="1"/>
    <xf numFmtId="0" fontId="17" fillId="0" borderId="0" xfId="0" applyFont="1" applyAlignment="1"/>
    <xf numFmtId="44" fontId="57" fillId="0" borderId="0" xfId="1" applyFont="1" applyBorder="1" applyAlignment="1"/>
    <xf numFmtId="44" fontId="58" fillId="0" borderId="0" xfId="1" applyFont="1"/>
    <xf numFmtId="44" fontId="59" fillId="0" borderId="0" xfId="0" applyNumberFormat="1" applyFont="1"/>
    <xf numFmtId="44" fontId="2" fillId="0" borderId="0" xfId="0" applyNumberFormat="1" applyFont="1"/>
    <xf numFmtId="0" fontId="60" fillId="0" borderId="0" xfId="0" applyFont="1" applyAlignment="1">
      <alignment wrapText="1"/>
    </xf>
    <xf numFmtId="0" fontId="61" fillId="0" borderId="0" xfId="0" applyFont="1" applyAlignment="1">
      <alignment wrapText="1"/>
    </xf>
    <xf numFmtId="0" fontId="62" fillId="0" borderId="0" xfId="0" applyFont="1" applyAlignment="1">
      <alignment wrapText="1"/>
    </xf>
    <xf numFmtId="0" fontId="61" fillId="0" borderId="0" xfId="0" applyFont="1" applyAlignment="1">
      <alignment horizontal="left" vertical="top" wrapText="1"/>
    </xf>
    <xf numFmtId="0" fontId="0" fillId="0" borderId="0" xfId="0" applyFill="1" applyBorder="1" applyAlignment="1"/>
    <xf numFmtId="0" fontId="0" fillId="3" borderId="26" xfId="0" applyFill="1" applyBorder="1" applyAlignment="1">
      <alignment wrapText="1"/>
    </xf>
    <xf numFmtId="0" fontId="0" fillId="3" borderId="34" xfId="0" applyFill="1" applyBorder="1" applyAlignment="1"/>
    <xf numFmtId="0" fontId="0" fillId="3" borderId="34" xfId="0" applyFill="1" applyBorder="1" applyAlignment="1">
      <alignment wrapText="1"/>
    </xf>
    <xf numFmtId="0" fontId="0" fillId="3" borderId="22" xfId="0" applyFill="1" applyBorder="1" applyAlignment="1">
      <alignment wrapText="1"/>
    </xf>
    <xf numFmtId="0" fontId="61" fillId="2" borderId="0" xfId="0" applyFont="1" applyFill="1" applyAlignment="1">
      <alignment wrapText="1"/>
    </xf>
    <xf numFmtId="0" fontId="63" fillId="0" borderId="0" xfId="0" applyFont="1"/>
    <xf numFmtId="44" fontId="0" fillId="0" borderId="40" xfId="0" applyNumberFormat="1" applyFont="1" applyBorder="1" applyAlignment="1"/>
    <xf numFmtId="44" fontId="0" fillId="0" borderId="42" xfId="0" applyNumberFormat="1" applyFont="1" applyBorder="1"/>
    <xf numFmtId="44" fontId="0" fillId="0" borderId="23" xfId="0" applyNumberFormat="1" applyFont="1" applyBorder="1" applyAlignment="1"/>
    <xf numFmtId="44" fontId="0" fillId="8" borderId="0" xfId="1" applyFont="1" applyFill="1" applyAlignment="1" applyProtection="1">
      <alignment horizontal="center" vertical="center"/>
    </xf>
    <xf numFmtId="0" fontId="18" fillId="8" borderId="0" xfId="0" applyFont="1" applyFill="1" applyProtection="1"/>
    <xf numFmtId="0" fontId="38" fillId="8" borderId="0" xfId="0" applyFont="1" applyFill="1" applyBorder="1" applyAlignment="1" applyProtection="1">
      <alignment horizontal="right" vertical="center"/>
    </xf>
    <xf numFmtId="44" fontId="26" fillId="8" borderId="8" xfId="0" applyNumberFormat="1" applyFont="1" applyFill="1" applyBorder="1" applyAlignment="1" applyProtection="1">
      <alignment vertical="center"/>
    </xf>
    <xf numFmtId="0" fontId="32" fillId="8" borderId="0" xfId="0" applyFont="1" applyFill="1" applyAlignment="1">
      <alignment wrapText="1"/>
    </xf>
    <xf numFmtId="0" fontId="32" fillId="8" borderId="0" xfId="0" applyFont="1" applyFill="1" applyAlignment="1"/>
    <xf numFmtId="0" fontId="26" fillId="0" borderId="0" xfId="0" applyFont="1" applyAlignment="1">
      <alignment horizontal="right"/>
    </xf>
    <xf numFmtId="0" fontId="19" fillId="8" borderId="0" xfId="0" applyFont="1" applyFill="1" applyAlignment="1"/>
    <xf numFmtId="0" fontId="17" fillId="0" borderId="0" xfId="0" applyFont="1" applyBorder="1"/>
    <xf numFmtId="0" fontId="0" fillId="4" borderId="28" xfId="0" applyFont="1" applyFill="1" applyBorder="1"/>
    <xf numFmtId="0" fontId="3" fillId="4" borderId="19" xfId="0" applyFont="1" applyFill="1" applyBorder="1"/>
    <xf numFmtId="0" fontId="0" fillId="4" borderId="19" xfId="0" applyFont="1" applyFill="1" applyBorder="1"/>
    <xf numFmtId="0" fontId="0" fillId="4" borderId="19" xfId="0" applyFont="1" applyFill="1" applyBorder="1" applyAlignment="1">
      <alignment horizontal="right"/>
    </xf>
    <xf numFmtId="0" fontId="0" fillId="4" borderId="10" xfId="0" applyFont="1" applyFill="1" applyBorder="1"/>
    <xf numFmtId="0" fontId="47" fillId="0" borderId="9" xfId="0" applyFont="1" applyBorder="1"/>
    <xf numFmtId="0" fontId="33" fillId="0" borderId="9" xfId="0" applyFont="1" applyBorder="1" applyAlignment="1">
      <alignment horizontal="right"/>
    </xf>
    <xf numFmtId="44" fontId="17" fillId="0" borderId="2" xfId="0" applyNumberFormat="1" applyFont="1" applyBorder="1"/>
    <xf numFmtId="0" fontId="21" fillId="8" borderId="16" xfId="0" applyFont="1" applyFill="1" applyBorder="1" applyProtection="1">
      <protection locked="0"/>
    </xf>
    <xf numFmtId="10" fontId="17" fillId="8" borderId="16" xfId="2" applyNumberFormat="1" applyFont="1" applyFill="1" applyBorder="1" applyAlignment="1" applyProtection="1">
      <alignment horizontal="center"/>
      <protection locked="0"/>
    </xf>
    <xf numFmtId="44" fontId="17" fillId="0" borderId="4" xfId="0" applyNumberFormat="1" applyFont="1" applyBorder="1"/>
    <xf numFmtId="0" fontId="17" fillId="8" borderId="16" xfId="0" applyFont="1" applyFill="1" applyBorder="1" applyProtection="1">
      <protection locked="0"/>
    </xf>
    <xf numFmtId="0" fontId="21" fillId="8" borderId="16" xfId="0" applyFont="1" applyFill="1" applyBorder="1" applyAlignment="1" applyProtection="1">
      <alignment horizontal="left"/>
      <protection locked="0"/>
    </xf>
    <xf numFmtId="2" fontId="21" fillId="8" borderId="16" xfId="0" applyNumberFormat="1" applyFont="1" applyFill="1" applyBorder="1" applyAlignment="1" applyProtection="1">
      <alignment horizontal="center"/>
      <protection locked="0"/>
    </xf>
    <xf numFmtId="44" fontId="17" fillId="8" borderId="16" xfId="1" applyFont="1" applyFill="1" applyBorder="1" applyProtection="1">
      <protection locked="0"/>
    </xf>
    <xf numFmtId="0" fontId="17" fillId="20" borderId="16" xfId="0" applyFont="1" applyFill="1" applyBorder="1" applyAlignment="1">
      <alignment horizontal="center" vertical="center"/>
    </xf>
    <xf numFmtId="0" fontId="17" fillId="0" borderId="8" xfId="0" applyFont="1" applyFill="1" applyBorder="1"/>
    <xf numFmtId="0" fontId="17" fillId="0" borderId="8" xfId="0" applyFont="1" applyBorder="1" applyAlignment="1">
      <alignment horizontal="right"/>
    </xf>
    <xf numFmtId="0" fontId="17" fillId="24" borderId="30" xfId="0" applyFont="1" applyFill="1" applyBorder="1" applyAlignment="1">
      <alignment horizontal="center"/>
    </xf>
    <xf numFmtId="0" fontId="33" fillId="0" borderId="8" xfId="0" applyFont="1" applyBorder="1" applyAlignment="1">
      <alignment horizontal="right" vertical="center"/>
    </xf>
    <xf numFmtId="44" fontId="33" fillId="0" borderId="23" xfId="0" applyNumberFormat="1" applyFont="1" applyBorder="1" applyAlignment="1">
      <alignment vertical="center"/>
    </xf>
    <xf numFmtId="0" fontId="17" fillId="0" borderId="3" xfId="0" applyFont="1" applyBorder="1" applyAlignment="1">
      <alignment horizontal="center" vertical="center"/>
    </xf>
    <xf numFmtId="0" fontId="17" fillId="0" borderId="0" xfId="0" applyFont="1" applyFill="1" applyBorder="1"/>
    <xf numFmtId="0" fontId="33" fillId="0" borderId="0" xfId="0" applyFont="1" applyBorder="1" applyAlignment="1">
      <alignment horizontal="right" vertical="center"/>
    </xf>
    <xf numFmtId="44" fontId="33" fillId="0" borderId="0" xfId="0" applyNumberFormat="1" applyFont="1" applyBorder="1" applyAlignment="1">
      <alignment vertical="center"/>
    </xf>
    <xf numFmtId="0" fontId="17" fillId="0" borderId="0" xfId="0" applyFont="1" applyBorder="1" applyAlignment="1">
      <alignment horizontal="center" vertical="center"/>
    </xf>
    <xf numFmtId="0" fontId="17" fillId="0" borderId="9" xfId="0" applyFont="1" applyBorder="1" applyAlignment="1">
      <alignment horizontal="right"/>
    </xf>
    <xf numFmtId="44" fontId="17" fillId="0" borderId="0" xfId="0" applyNumberFormat="1" applyFont="1" applyBorder="1" applyAlignment="1">
      <alignment vertical="center"/>
    </xf>
    <xf numFmtId="0" fontId="21" fillId="8" borderId="20" xfId="0" applyFont="1" applyFill="1" applyBorder="1" applyProtection="1">
      <protection locked="0"/>
    </xf>
    <xf numFmtId="10" fontId="17" fillId="8" borderId="20" xfId="2" applyNumberFormat="1" applyFont="1" applyFill="1" applyBorder="1" applyAlignment="1" applyProtection="1">
      <alignment horizontal="center"/>
      <protection locked="0"/>
    </xf>
    <xf numFmtId="44" fontId="17" fillId="0" borderId="8" xfId="1" applyFont="1" applyFill="1" applyBorder="1" applyProtection="1">
      <protection locked="0"/>
    </xf>
    <xf numFmtId="0" fontId="21" fillId="24" borderId="30" xfId="0" applyFont="1" applyFill="1" applyBorder="1" applyAlignment="1" applyProtection="1">
      <alignment horizontal="center"/>
    </xf>
    <xf numFmtId="44" fontId="33" fillId="0" borderId="6" xfId="0" applyNumberFormat="1" applyFont="1" applyBorder="1" applyAlignment="1">
      <alignment vertical="center"/>
    </xf>
    <xf numFmtId="0" fontId="17" fillId="0" borderId="3" xfId="0" applyFont="1" applyBorder="1" applyAlignment="1">
      <alignment vertical="center"/>
    </xf>
    <xf numFmtId="0" fontId="17" fillId="0" borderId="0" xfId="0" applyFont="1" applyBorder="1" applyAlignment="1">
      <alignment vertical="center"/>
    </xf>
    <xf numFmtId="0" fontId="17" fillId="0" borderId="9" xfId="0" applyFont="1" applyBorder="1" applyAlignment="1">
      <alignment horizontal="left"/>
    </xf>
    <xf numFmtId="0" fontId="33" fillId="0" borderId="0" xfId="0" applyFont="1" applyFill="1" applyBorder="1" applyAlignment="1">
      <alignment horizontal="right" vertical="center"/>
    </xf>
    <xf numFmtId="0" fontId="17" fillId="0" borderId="0" xfId="0" applyFont="1" applyAlignment="1">
      <alignment horizontal="right"/>
    </xf>
    <xf numFmtId="0" fontId="47" fillId="0" borderId="9" xfId="0" applyFont="1" applyFill="1" applyBorder="1"/>
    <xf numFmtId="44" fontId="17" fillId="0" borderId="2" xfId="0" applyNumberFormat="1" applyFont="1" applyFill="1" applyBorder="1" applyAlignment="1">
      <alignment horizontal="right"/>
    </xf>
    <xf numFmtId="10" fontId="21" fillId="8" borderId="16" xfId="0" applyNumberFormat="1" applyFont="1" applyFill="1" applyBorder="1" applyAlignment="1" applyProtection="1">
      <alignment horizontal="center"/>
      <protection locked="0"/>
    </xf>
    <xf numFmtId="0" fontId="21" fillId="24" borderId="16" xfId="0" applyFont="1" applyFill="1" applyBorder="1" applyAlignment="1" applyProtection="1">
      <alignment horizontal="center"/>
    </xf>
    <xf numFmtId="0" fontId="17" fillId="0" borderId="0" xfId="0" applyFont="1" applyFill="1" applyBorder="1" applyAlignment="1">
      <alignment horizontal="center" vertical="center"/>
    </xf>
    <xf numFmtId="44" fontId="17" fillId="0" borderId="0" xfId="1" applyFont="1" applyFill="1" applyBorder="1"/>
    <xf numFmtId="0" fontId="17" fillId="8" borderId="16" xfId="0" applyFont="1" applyFill="1" applyBorder="1" applyAlignment="1" applyProtection="1">
      <alignment horizontal="center"/>
      <protection locked="0"/>
    </xf>
    <xf numFmtId="0" fontId="33" fillId="0" borderId="6" xfId="0" applyFont="1" applyBorder="1" applyAlignment="1">
      <alignment horizontal="right" vertical="center"/>
    </xf>
    <xf numFmtId="0" fontId="17" fillId="0" borderId="9" xfId="0" applyFont="1" applyFill="1" applyBorder="1" applyAlignment="1">
      <alignment horizontal="right"/>
    </xf>
    <xf numFmtId="0" fontId="17" fillId="8" borderId="16" xfId="0" applyFont="1" applyFill="1" applyBorder="1" applyAlignment="1" applyProtection="1">
      <alignment horizontal="center" vertical="center"/>
      <protection locked="0"/>
    </xf>
    <xf numFmtId="2" fontId="17" fillId="8" borderId="16" xfId="2" applyNumberFormat="1" applyFont="1" applyFill="1" applyBorder="1" applyAlignment="1" applyProtection="1">
      <alignment horizontal="center"/>
      <protection locked="0"/>
    </xf>
    <xf numFmtId="2" fontId="17" fillId="0" borderId="0" xfId="2" applyNumberFormat="1" applyFont="1" applyFill="1" applyBorder="1" applyAlignment="1" applyProtection="1">
      <alignment horizontal="center"/>
      <protection locked="0"/>
    </xf>
    <xf numFmtId="0" fontId="21" fillId="0" borderId="8" xfId="0" applyFont="1" applyFill="1" applyBorder="1" applyAlignment="1" applyProtection="1">
      <alignment horizontal="center"/>
      <protection locked="0"/>
    </xf>
    <xf numFmtId="0" fontId="17" fillId="8" borderId="20" xfId="0" applyFont="1" applyFill="1" applyBorder="1" applyAlignment="1" applyProtection="1">
      <alignment horizontal="center" vertical="center"/>
      <protection locked="0"/>
    </xf>
    <xf numFmtId="44" fontId="17" fillId="0" borderId="8" xfId="1" applyFont="1" applyFill="1" applyBorder="1"/>
    <xf numFmtId="0" fontId="22" fillId="0" borderId="0" xfId="0" applyFont="1" applyFill="1" applyBorder="1"/>
    <xf numFmtId="0" fontId="53" fillId="0" borderId="0" xfId="0" applyFont="1" applyAlignment="1"/>
    <xf numFmtId="0" fontId="17" fillId="4" borderId="21" xfId="0" applyFont="1" applyFill="1" applyBorder="1" applyAlignment="1" applyProtection="1">
      <alignment horizontal="center" vertical="center"/>
    </xf>
    <xf numFmtId="0" fontId="33" fillId="4" borderId="24" xfId="0" applyFont="1" applyFill="1" applyBorder="1" applyProtection="1"/>
    <xf numFmtId="44" fontId="17" fillId="4" borderId="21" xfId="1" applyFont="1" applyFill="1" applyBorder="1" applyAlignment="1" applyProtection="1">
      <alignment horizontal="center" vertical="center"/>
    </xf>
    <xf numFmtId="44" fontId="17" fillId="4" borderId="21" xfId="1" applyFont="1" applyFill="1" applyBorder="1" applyProtection="1"/>
    <xf numFmtId="0" fontId="65" fillId="0" borderId="0" xfId="0" applyFont="1" applyFill="1"/>
    <xf numFmtId="0" fontId="17" fillId="0" borderId="3" xfId="0" applyFont="1" applyFill="1" applyBorder="1" applyProtection="1"/>
    <xf numFmtId="44" fontId="17" fillId="8" borderId="16" xfId="1" applyFont="1" applyFill="1" applyBorder="1" applyAlignment="1" applyProtection="1">
      <alignment vertical="center"/>
      <protection locked="0"/>
    </xf>
    <xf numFmtId="166" fontId="17" fillId="8" borderId="22" xfId="3" applyNumberFormat="1" applyFont="1" applyFill="1" applyBorder="1" applyAlignment="1" applyProtection="1">
      <alignment vertical="center"/>
      <protection locked="0"/>
    </xf>
    <xf numFmtId="44" fontId="17" fillId="0" borderId="16" xfId="1" applyFont="1" applyFill="1" applyBorder="1" applyProtection="1"/>
    <xf numFmtId="44" fontId="33" fillId="0" borderId="4" xfId="1" applyFont="1" applyBorder="1" applyAlignment="1" applyProtection="1">
      <alignment vertical="center"/>
    </xf>
    <xf numFmtId="0" fontId="17" fillId="0" borderId="0" xfId="0" applyFont="1" applyBorder="1" applyAlignment="1" applyProtection="1">
      <alignment vertical="center"/>
    </xf>
    <xf numFmtId="0" fontId="65" fillId="0" borderId="0" xfId="0" applyFont="1"/>
    <xf numFmtId="166" fontId="17" fillId="8" borderId="16" xfId="3" applyNumberFormat="1" applyFont="1" applyFill="1" applyBorder="1" applyAlignment="1" applyProtection="1">
      <alignment vertical="center"/>
      <protection locked="0"/>
    </xf>
    <xf numFmtId="0" fontId="17" fillId="0" borderId="5" xfId="0" applyFont="1" applyFill="1" applyBorder="1" applyProtection="1"/>
    <xf numFmtId="0" fontId="17" fillId="0" borderId="8" xfId="0" applyFont="1" applyFill="1" applyBorder="1" applyProtection="1"/>
    <xf numFmtId="0" fontId="17" fillId="0" borderId="8" xfId="0" applyFont="1" applyFill="1" applyBorder="1" applyAlignment="1" applyProtection="1">
      <alignment vertical="center"/>
    </xf>
    <xf numFmtId="44" fontId="17" fillId="0" borderId="8" xfId="1" applyFont="1" applyFill="1" applyBorder="1" applyAlignment="1" applyProtection="1">
      <alignment horizontal="center" vertical="center"/>
    </xf>
    <xf numFmtId="44" fontId="17" fillId="0" borderId="8" xfId="1" applyFont="1" applyFill="1" applyBorder="1" applyProtection="1"/>
    <xf numFmtId="44" fontId="33" fillId="0" borderId="28" xfId="1" applyFont="1" applyBorder="1" applyAlignment="1" applyProtection="1">
      <alignment vertical="center"/>
    </xf>
    <xf numFmtId="44" fontId="17" fillId="0" borderId="23" xfId="0" applyNumberFormat="1" applyFont="1" applyBorder="1" applyAlignment="1" applyProtection="1">
      <alignment vertical="center"/>
    </xf>
    <xf numFmtId="0" fontId="17" fillId="0" borderId="0" xfId="0" applyFont="1" applyFill="1" applyBorder="1" applyProtection="1"/>
    <xf numFmtId="0" fontId="17" fillId="0" borderId="0" xfId="0" applyFont="1" applyFill="1" applyBorder="1" applyAlignment="1" applyProtection="1">
      <alignment vertical="center"/>
    </xf>
    <xf numFmtId="44" fontId="17" fillId="0" borderId="0" xfId="1" applyFont="1" applyFill="1" applyBorder="1" applyAlignment="1" applyProtection="1">
      <alignment horizontal="center" vertical="center"/>
    </xf>
    <xf numFmtId="44" fontId="17" fillId="0" borderId="0" xfId="1" applyFont="1" applyFill="1" applyBorder="1" applyProtection="1"/>
    <xf numFmtId="44" fontId="33" fillId="0" borderId="0" xfId="1" applyFont="1" applyBorder="1" applyAlignment="1" applyProtection="1">
      <alignment vertical="center"/>
    </xf>
    <xf numFmtId="0" fontId="33" fillId="4" borderId="21" xfId="0" applyFont="1" applyFill="1" applyBorder="1" applyProtection="1"/>
    <xf numFmtId="0" fontId="17" fillId="0" borderId="3" xfId="0" applyFont="1" applyFill="1" applyBorder="1" applyAlignment="1" applyProtection="1">
      <alignment horizontal="right" indent="1"/>
    </xf>
    <xf numFmtId="0" fontId="17" fillId="8" borderId="22" xfId="0" applyFont="1" applyFill="1" applyBorder="1" applyProtection="1">
      <protection locked="0"/>
    </xf>
    <xf numFmtId="44" fontId="17" fillId="8" borderId="22" xfId="1" applyFont="1" applyFill="1" applyBorder="1" applyAlignment="1" applyProtection="1">
      <alignment vertical="center"/>
      <protection locked="0"/>
    </xf>
    <xf numFmtId="166" fontId="17" fillId="8" borderId="22" xfId="3" applyNumberFormat="1" applyFont="1" applyFill="1" applyBorder="1" applyAlignment="1" applyProtection="1">
      <alignment horizontal="center" vertical="center"/>
      <protection locked="0"/>
    </xf>
    <xf numFmtId="0" fontId="17" fillId="0" borderId="0" xfId="0" applyFont="1" applyAlignment="1" applyProtection="1">
      <alignment vertical="center"/>
    </xf>
    <xf numFmtId="0" fontId="17" fillId="8" borderId="26" xfId="0" applyFont="1" applyFill="1" applyBorder="1" applyProtection="1">
      <protection locked="0"/>
    </xf>
    <xf numFmtId="44" fontId="17" fillId="8" borderId="26" xfId="1" applyFont="1" applyFill="1" applyBorder="1" applyAlignment="1" applyProtection="1">
      <alignment vertical="center"/>
      <protection locked="0"/>
    </xf>
    <xf numFmtId="166" fontId="17" fillId="8" borderId="16" xfId="3" applyNumberFormat="1" applyFont="1" applyFill="1" applyBorder="1" applyAlignment="1" applyProtection="1">
      <alignment horizontal="center" vertical="center"/>
      <protection locked="0"/>
    </xf>
    <xf numFmtId="0" fontId="17" fillId="0" borderId="16" xfId="0" applyFont="1" applyFill="1" applyBorder="1" applyAlignment="1" applyProtection="1">
      <alignment vertical="center"/>
    </xf>
    <xf numFmtId="44" fontId="17" fillId="0" borderId="16" xfId="1" applyFont="1" applyFill="1" applyBorder="1" applyAlignment="1" applyProtection="1">
      <alignment horizontal="center" vertical="center"/>
    </xf>
    <xf numFmtId="0" fontId="17" fillId="0" borderId="5" xfId="0" applyFont="1" applyFill="1" applyBorder="1" applyAlignment="1" applyProtection="1">
      <alignment horizontal="left" indent="1"/>
    </xf>
    <xf numFmtId="44" fontId="33" fillId="0" borderId="29" xfId="1" applyFont="1" applyBorder="1" applyAlignment="1" applyProtection="1">
      <alignment vertical="center"/>
    </xf>
    <xf numFmtId="0" fontId="17" fillId="0" borderId="0" xfId="0" applyFont="1" applyFill="1" applyBorder="1" applyAlignment="1" applyProtection="1">
      <alignment horizontal="left" indent="1"/>
    </xf>
    <xf numFmtId="0" fontId="33" fillId="4" borderId="21" xfId="0" applyFont="1" applyFill="1" applyBorder="1" applyAlignment="1" applyProtection="1">
      <alignment horizontal="left" indent="1"/>
    </xf>
    <xf numFmtId="44" fontId="17" fillId="0" borderId="22" xfId="1" applyFont="1" applyFill="1" applyBorder="1" applyProtection="1"/>
    <xf numFmtId="0" fontId="17" fillId="0" borderId="0" xfId="0" applyFont="1" applyFill="1" applyBorder="1" applyAlignment="1" applyProtection="1">
      <alignment horizontal="right" indent="1"/>
    </xf>
    <xf numFmtId="44" fontId="33" fillId="0" borderId="0" xfId="1" applyFont="1" applyAlignment="1" applyProtection="1">
      <alignment vertical="center"/>
    </xf>
    <xf numFmtId="44" fontId="17" fillId="4" borderId="21" xfId="1" applyFont="1" applyFill="1" applyBorder="1" applyAlignment="1" applyProtection="1">
      <alignment horizontal="center" vertical="center" wrapText="1"/>
    </xf>
    <xf numFmtId="0" fontId="17" fillId="0" borderId="3" xfId="0" applyFont="1" applyBorder="1" applyProtection="1"/>
    <xf numFmtId="0" fontId="17" fillId="0" borderId="0" xfId="0" applyFont="1" applyFill="1" applyBorder="1" applyAlignment="1" applyProtection="1">
      <alignment horizontal="left" vertical="top" wrapText="1"/>
    </xf>
    <xf numFmtId="44" fontId="17" fillId="0" borderId="0" xfId="0" applyNumberFormat="1" applyFont="1" applyBorder="1" applyAlignment="1" applyProtection="1">
      <alignment vertical="center"/>
    </xf>
    <xf numFmtId="0" fontId="17" fillId="0" borderId="5" xfId="0" applyFont="1" applyBorder="1" applyProtection="1"/>
    <xf numFmtId="0" fontId="17" fillId="0" borderId="8" xfId="0" applyFont="1" applyBorder="1" applyAlignment="1" applyProtection="1">
      <alignment vertical="center"/>
    </xf>
    <xf numFmtId="44" fontId="17" fillId="0" borderId="8" xfId="1" applyFont="1" applyBorder="1" applyAlignment="1" applyProtection="1">
      <alignment horizontal="center" vertical="center"/>
    </xf>
    <xf numFmtId="44" fontId="17" fillId="0" borderId="8" xfId="1" applyFont="1" applyBorder="1" applyProtection="1"/>
    <xf numFmtId="0" fontId="17" fillId="0" borderId="0" xfId="0" applyFont="1" applyBorder="1" applyProtection="1"/>
    <xf numFmtId="0" fontId="17" fillId="0" borderId="0" xfId="0" applyFont="1" applyBorder="1" applyAlignment="1" applyProtection="1">
      <alignment vertical="top" wrapText="1"/>
    </xf>
    <xf numFmtId="44" fontId="17" fillId="0" borderId="0" xfId="1" applyFont="1" applyBorder="1" applyAlignment="1" applyProtection="1">
      <alignment horizontal="center" vertical="center"/>
    </xf>
    <xf numFmtId="44" fontId="17" fillId="0" borderId="0" xfId="1" applyFont="1" applyBorder="1" applyProtection="1"/>
    <xf numFmtId="43" fontId="17" fillId="8" borderId="16" xfId="3" applyFont="1" applyFill="1" applyBorder="1" applyAlignment="1" applyProtection="1">
      <alignment horizontal="center" vertical="center"/>
      <protection locked="0"/>
    </xf>
    <xf numFmtId="44" fontId="17" fillId="8" borderId="22" xfId="1" applyFont="1" applyFill="1" applyBorder="1" applyProtection="1">
      <protection locked="0"/>
    </xf>
    <xf numFmtId="0" fontId="21" fillId="8" borderId="22" xfId="4" applyFont="1" applyFill="1" applyBorder="1" applyProtection="1">
      <protection locked="0"/>
    </xf>
    <xf numFmtId="44" fontId="17" fillId="0" borderId="0" xfId="1" applyFont="1" applyAlignment="1" applyProtection="1">
      <alignment horizontal="center" vertical="center"/>
    </xf>
    <xf numFmtId="44" fontId="17" fillId="4" borderId="21" xfId="1" applyFont="1" applyFill="1" applyBorder="1" applyAlignment="1" applyProtection="1">
      <alignment horizontal="center" wrapText="1"/>
    </xf>
    <xf numFmtId="0" fontId="2" fillId="4" borderId="37" xfId="0" applyFont="1" applyFill="1" applyBorder="1"/>
    <xf numFmtId="0" fontId="0" fillId="4" borderId="37" xfId="0" applyFont="1" applyFill="1" applyBorder="1"/>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9" xfId="0" applyFont="1" applyFill="1" applyBorder="1" applyAlignment="1">
      <alignment horizontal="center" vertical="top" wrapText="1"/>
    </xf>
    <xf numFmtId="0" fontId="21" fillId="0" borderId="20" xfId="0" applyFont="1" applyBorder="1" applyAlignment="1">
      <alignment horizontal="left" vertical="top"/>
    </xf>
    <xf numFmtId="44" fontId="21" fillId="8" borderId="20" xfId="1" applyFont="1" applyFill="1" applyBorder="1" applyAlignment="1" applyProtection="1">
      <alignment horizontal="center" vertical="top" wrapText="1"/>
      <protection locked="0"/>
    </xf>
    <xf numFmtId="164" fontId="21" fillId="0" borderId="20" xfId="5" applyNumberFormat="1" applyFont="1" applyFill="1" applyBorder="1" applyAlignment="1">
      <alignment horizontal="center" vertical="top" wrapText="1"/>
    </xf>
    <xf numFmtId="164" fontId="21" fillId="0" borderId="9" xfId="5" applyNumberFormat="1" applyFont="1" applyBorder="1" applyAlignment="1">
      <alignment horizontal="center" vertical="top" wrapText="1"/>
    </xf>
    <xf numFmtId="0" fontId="21" fillId="0" borderId="16" xfId="0" applyFont="1" applyBorder="1" applyAlignment="1">
      <alignment horizontal="left" vertical="top"/>
    </xf>
    <xf numFmtId="44" fontId="21" fillId="8" borderId="16" xfId="1" applyFont="1" applyFill="1" applyBorder="1" applyAlignment="1" applyProtection="1">
      <alignment horizontal="center" vertical="top" wrapText="1"/>
      <protection locked="0"/>
    </xf>
    <xf numFmtId="164" fontId="21" fillId="0" borderId="16" xfId="5" applyNumberFormat="1" applyFont="1" applyFill="1" applyBorder="1" applyAlignment="1">
      <alignment horizontal="center" vertical="top" wrapText="1"/>
    </xf>
    <xf numFmtId="164" fontId="21" fillId="0" borderId="0" xfId="5" applyNumberFormat="1" applyFont="1" applyBorder="1" applyAlignment="1">
      <alignment horizontal="center" vertical="top" wrapText="1"/>
    </xf>
    <xf numFmtId="0" fontId="21" fillId="8" borderId="26" xfId="0" applyFont="1" applyFill="1" applyBorder="1" applyAlignment="1">
      <alignment vertical="center"/>
    </xf>
    <xf numFmtId="0" fontId="21" fillId="8" borderId="34" xfId="0" applyFont="1" applyFill="1" applyBorder="1" applyAlignment="1">
      <alignment vertical="center"/>
    </xf>
    <xf numFmtId="0" fontId="21" fillId="0" borderId="22" xfId="0" applyFont="1" applyBorder="1" applyAlignment="1">
      <alignment horizontal="left" vertical="top"/>
    </xf>
    <xf numFmtId="164" fontId="21" fillId="0" borderId="38" xfId="5" applyNumberFormat="1" applyFont="1" applyFill="1" applyBorder="1" applyAlignment="1">
      <alignment horizontal="center" vertical="top" wrapText="1"/>
    </xf>
    <xf numFmtId="164" fontId="21" fillId="0" borderId="23" xfId="5" applyNumberFormat="1" applyFont="1" applyBorder="1" applyAlignment="1">
      <alignment horizontal="center" vertical="top" wrapText="1"/>
    </xf>
    <xf numFmtId="0" fontId="21" fillId="0" borderId="3"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right" vertical="top"/>
    </xf>
    <xf numFmtId="164" fontId="21" fillId="0" borderId="0" xfId="5" applyNumberFormat="1" applyFont="1" applyFill="1" applyBorder="1" applyAlignment="1">
      <alignment horizontal="center" vertical="top" wrapText="1"/>
    </xf>
    <xf numFmtId="164" fontId="21" fillId="8" borderId="20" xfId="5" applyNumberFormat="1" applyFont="1" applyFill="1" applyBorder="1" applyAlignment="1" applyProtection="1">
      <alignment horizontal="center" vertical="top" wrapText="1"/>
      <protection locked="0"/>
    </xf>
    <xf numFmtId="164" fontId="21" fillId="8" borderId="16" xfId="5" applyNumberFormat="1" applyFont="1" applyFill="1" applyBorder="1" applyAlignment="1" applyProtection="1">
      <alignment horizontal="center" vertical="top" wrapText="1"/>
      <protection locked="0"/>
    </xf>
    <xf numFmtId="0" fontId="21" fillId="8" borderId="26" xfId="0" applyFont="1" applyFill="1" applyBorder="1" applyAlignment="1" applyProtection="1">
      <alignment vertical="center"/>
    </xf>
    <xf numFmtId="0" fontId="21" fillId="8" borderId="34" xfId="0" applyFont="1" applyFill="1" applyBorder="1" applyAlignment="1" applyProtection="1">
      <alignment vertical="center"/>
    </xf>
    <xf numFmtId="0" fontId="22" fillId="0" borderId="0" xfId="0" applyFont="1" applyFill="1" applyBorder="1" applyAlignment="1">
      <alignment horizontal="right" vertical="top"/>
    </xf>
    <xf numFmtId="164" fontId="21" fillId="0" borderId="23" xfId="5" applyNumberFormat="1" applyFont="1" applyFill="1" applyBorder="1" applyAlignment="1">
      <alignment horizontal="center" vertical="top" wrapText="1"/>
    </xf>
    <xf numFmtId="0" fontId="16" fillId="0" borderId="37" xfId="0" applyFont="1" applyFill="1" applyBorder="1" applyAlignment="1">
      <alignment horizontal="center" wrapText="1"/>
    </xf>
    <xf numFmtId="44" fontId="56" fillId="0" borderId="0" xfId="1" applyFont="1" applyAlignment="1" applyProtection="1">
      <alignment vertical="center"/>
    </xf>
    <xf numFmtId="0" fontId="19" fillId="0" borderId="0" xfId="0" applyFont="1" applyFill="1" applyBorder="1" applyAlignment="1">
      <alignment horizontal="right"/>
    </xf>
    <xf numFmtId="44" fontId="19" fillId="0" borderId="0" xfId="1" applyFont="1" applyAlignment="1" applyProtection="1">
      <alignment horizontal="right"/>
    </xf>
    <xf numFmtId="0" fontId="17" fillId="0" borderId="0" xfId="0" applyFont="1" applyBorder="1" applyProtection="1">
      <protection locked="0"/>
    </xf>
    <xf numFmtId="0" fontId="17" fillId="20" borderId="0" xfId="0" applyFont="1" applyFill="1" applyAlignment="1" applyProtection="1">
      <alignment horizontal="center"/>
      <protection locked="0"/>
    </xf>
    <xf numFmtId="44" fontId="17" fillId="20" borderId="0" xfId="1" applyFont="1" applyFill="1" applyAlignment="1" applyProtection="1">
      <alignment horizontal="center"/>
      <protection locked="0"/>
    </xf>
    <xf numFmtId="44" fontId="17" fillId="0" borderId="0" xfId="1" applyFont="1" applyAlignment="1" applyProtection="1">
      <alignment horizontal="center"/>
      <protection locked="0"/>
    </xf>
    <xf numFmtId="0" fontId="17" fillId="0" borderId="12" xfId="0" applyFont="1" applyBorder="1" applyAlignment="1" applyProtection="1">
      <alignment horizontal="center"/>
      <protection locked="0"/>
    </xf>
    <xf numFmtId="0" fontId="17" fillId="0" borderId="0" xfId="0" applyFont="1" applyAlignment="1" applyProtection="1">
      <alignment horizontal="left"/>
      <protection locked="0"/>
    </xf>
    <xf numFmtId="176" fontId="17" fillId="20" borderId="0" xfId="1" applyNumberFormat="1" applyFont="1" applyFill="1" applyAlignment="1" applyProtection="1">
      <alignment horizontal="center"/>
    </xf>
    <xf numFmtId="0" fontId="0" fillId="3" borderId="26" xfId="0" applyFill="1" applyBorder="1" applyAlignment="1">
      <alignment horizontal="left" wrapText="1"/>
    </xf>
    <xf numFmtId="0" fontId="0" fillId="3" borderId="34" xfId="0" applyFill="1" applyBorder="1" applyAlignment="1">
      <alignment horizontal="left" wrapText="1"/>
    </xf>
    <xf numFmtId="0" fontId="0" fillId="3" borderId="22" xfId="0" applyFill="1" applyBorder="1" applyAlignment="1">
      <alignment horizontal="left" wrapText="1"/>
    </xf>
    <xf numFmtId="0" fontId="24" fillId="0" borderId="0" xfId="0" applyFont="1" applyAlignment="1">
      <alignment horizontal="center"/>
    </xf>
    <xf numFmtId="0" fontId="17" fillId="24" borderId="0" xfId="0" applyFont="1" applyFill="1" applyAlignment="1">
      <alignment horizontal="center"/>
    </xf>
    <xf numFmtId="0" fontId="17" fillId="0" borderId="0" xfId="0" applyFont="1" applyAlignment="1">
      <alignment horizontal="center"/>
    </xf>
    <xf numFmtId="0" fontId="35" fillId="0" borderId="0" xfId="0" applyFont="1" applyAlignment="1">
      <alignment horizontal="center" wrapText="1"/>
    </xf>
    <xf numFmtId="0" fontId="33" fillId="0" borderId="0" xfId="0" applyFont="1" applyAlignment="1">
      <alignment horizontal="center"/>
    </xf>
    <xf numFmtId="0" fontId="18" fillId="0" borderId="0" xfId="0" applyFont="1" applyAlignment="1">
      <alignment horizontal="center"/>
    </xf>
    <xf numFmtId="0" fontId="14" fillId="3" borderId="1" xfId="0" applyFont="1" applyFill="1" applyBorder="1" applyAlignment="1" applyProtection="1">
      <alignment horizontal="center"/>
      <protection locked="0"/>
    </xf>
    <xf numFmtId="0" fontId="14" fillId="3" borderId="9"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20" fillId="0" borderId="1" xfId="0" applyFont="1" applyFill="1" applyBorder="1" applyAlignment="1" applyProtection="1">
      <alignment horizontal="center"/>
    </xf>
    <xf numFmtId="0" fontId="20" fillId="0" borderId="2" xfId="0" applyFont="1" applyFill="1" applyBorder="1" applyAlignment="1" applyProtection="1">
      <alignment horizontal="center"/>
    </xf>
    <xf numFmtId="0" fontId="20" fillId="0" borderId="5" xfId="0" applyFont="1" applyFill="1" applyBorder="1" applyAlignment="1" applyProtection="1">
      <alignment horizontal="center"/>
    </xf>
    <xf numFmtId="0" fontId="20" fillId="0" borderId="6" xfId="0" applyFont="1" applyFill="1" applyBorder="1" applyAlignment="1" applyProtection="1">
      <alignment horizontal="center"/>
    </xf>
    <xf numFmtId="0" fontId="17" fillId="0" borderId="16" xfId="0" applyFont="1" applyBorder="1" applyAlignment="1" applyProtection="1">
      <alignment horizontal="left"/>
    </xf>
    <xf numFmtId="164" fontId="17" fillId="0" borderId="16" xfId="0" applyNumberFormat="1" applyFont="1" applyBorder="1" applyAlignment="1" applyProtection="1">
      <alignment horizontal="center"/>
    </xf>
    <xf numFmtId="164" fontId="17" fillId="0" borderId="46" xfId="0" applyNumberFormat="1" applyFont="1" applyBorder="1" applyAlignment="1" applyProtection="1">
      <alignment horizontal="center"/>
    </xf>
    <xf numFmtId="0" fontId="33" fillId="0" borderId="18" xfId="0" applyFont="1" applyBorder="1" applyAlignment="1" applyProtection="1">
      <alignment horizontal="left"/>
    </xf>
    <xf numFmtId="0" fontId="33" fillId="0" borderId="16" xfId="0" applyFont="1" applyBorder="1" applyAlignment="1" applyProtection="1">
      <alignment horizontal="left"/>
    </xf>
    <xf numFmtId="0" fontId="17" fillId="0" borderId="24" xfId="0" applyFont="1" applyBorder="1" applyAlignment="1" applyProtection="1">
      <alignment horizontal="left"/>
    </xf>
    <xf numFmtId="0" fontId="17" fillId="0" borderId="21" xfId="0" applyFont="1" applyBorder="1" applyAlignment="1" applyProtection="1">
      <alignment horizontal="left"/>
    </xf>
    <xf numFmtId="0" fontId="17" fillId="0" borderId="25" xfId="0" applyFont="1" applyBorder="1" applyAlignment="1" applyProtection="1">
      <alignment horizontal="left"/>
    </xf>
    <xf numFmtId="9" fontId="17" fillId="0" borderId="21" xfId="0" applyNumberFormat="1" applyFont="1" applyBorder="1" applyAlignment="1" applyProtection="1">
      <alignment horizontal="left"/>
    </xf>
    <xf numFmtId="164" fontId="17" fillId="0" borderId="25" xfId="0" applyNumberFormat="1" applyFont="1" applyBorder="1" applyAlignment="1" applyProtection="1">
      <alignment horizontal="center"/>
    </xf>
    <xf numFmtId="0" fontId="33" fillId="0" borderId="50" xfId="0" applyFont="1" applyBorder="1" applyAlignment="1" applyProtection="1">
      <alignment horizontal="left"/>
    </xf>
    <xf numFmtId="0" fontId="33" fillId="0" borderId="30" xfId="0" applyFont="1" applyBorder="1" applyAlignment="1" applyProtection="1">
      <alignment horizontal="left"/>
    </xf>
    <xf numFmtId="44" fontId="33" fillId="0" borderId="30" xfId="0" applyNumberFormat="1" applyFont="1" applyBorder="1" applyAlignment="1" applyProtection="1">
      <alignment horizontal="center"/>
    </xf>
    <xf numFmtId="44" fontId="33" fillId="0" borderId="29" xfId="0" applyNumberFormat="1" applyFont="1" applyBorder="1" applyAlignment="1" applyProtection="1">
      <alignment horizontal="center"/>
    </xf>
    <xf numFmtId="0" fontId="18" fillId="20" borderId="48" xfId="0" applyFont="1" applyFill="1" applyBorder="1" applyAlignment="1" applyProtection="1">
      <alignment horizontal="center" wrapText="1"/>
    </xf>
    <xf numFmtId="0" fontId="18" fillId="20" borderId="43" xfId="0" applyFont="1" applyFill="1" applyBorder="1" applyAlignment="1" applyProtection="1">
      <alignment horizontal="center" wrapText="1"/>
    </xf>
    <xf numFmtId="164" fontId="33" fillId="0" borderId="16" xfId="0" applyNumberFormat="1" applyFont="1" applyBorder="1" applyAlignment="1" applyProtection="1">
      <alignment horizontal="center"/>
    </xf>
    <xf numFmtId="164" fontId="33" fillId="0" borderId="46" xfId="0" applyNumberFormat="1" applyFont="1" applyBorder="1" applyAlignment="1" applyProtection="1">
      <alignment horizontal="center"/>
    </xf>
    <xf numFmtId="0" fontId="17" fillId="0" borderId="45" xfId="0" applyFont="1" applyBorder="1" applyAlignment="1" applyProtection="1">
      <alignment horizontal="left"/>
    </xf>
    <xf numFmtId="164" fontId="17" fillId="0" borderId="0" xfId="0" applyNumberFormat="1" applyFont="1" applyBorder="1" applyAlignment="1" applyProtection="1">
      <alignment horizontal="center"/>
    </xf>
    <xf numFmtId="164" fontId="17" fillId="0" borderId="4" xfId="0" applyNumberFormat="1" applyFont="1" applyBorder="1" applyAlignment="1" applyProtection="1">
      <alignment horizontal="center"/>
    </xf>
    <xf numFmtId="0" fontId="48" fillId="0" borderId="0" xfId="0" applyFont="1" applyFill="1" applyBorder="1" applyAlignment="1" applyProtection="1">
      <alignment horizontal="center" vertical="center"/>
    </xf>
    <xf numFmtId="0" fontId="6" fillId="0" borderId="10" xfId="0" applyFont="1" applyFill="1" applyBorder="1" applyAlignment="1" applyProtection="1">
      <alignment horizontal="left"/>
    </xf>
    <xf numFmtId="0" fontId="6" fillId="0" borderId="19" xfId="0" applyFont="1" applyFill="1" applyBorder="1" applyAlignment="1" applyProtection="1">
      <alignment horizontal="left"/>
    </xf>
    <xf numFmtId="0" fontId="6" fillId="0" borderId="11" xfId="0" applyFont="1" applyFill="1" applyBorder="1" applyAlignment="1" applyProtection="1">
      <alignment horizontal="left"/>
    </xf>
    <xf numFmtId="0" fontId="0" fillId="0" borderId="0" xfId="0" applyBorder="1" applyAlignment="1" applyProtection="1">
      <alignment horizontal="center"/>
    </xf>
    <xf numFmtId="0" fontId="22" fillId="0" borderId="0" xfId="0" applyFont="1" applyFill="1" applyBorder="1" applyAlignment="1" applyProtection="1">
      <alignment horizontal="right"/>
    </xf>
    <xf numFmtId="0" fontId="24"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17" fillId="0" borderId="18" xfId="0" applyFont="1" applyBorder="1" applyAlignment="1" applyProtection="1">
      <alignment horizontal="left"/>
    </xf>
    <xf numFmtId="0" fontId="17" fillId="0" borderId="46" xfId="0" applyFont="1" applyBorder="1" applyAlignment="1" applyProtection="1">
      <alignment horizontal="left"/>
    </xf>
    <xf numFmtId="0" fontId="17" fillId="0" borderId="22" xfId="0" applyFont="1" applyBorder="1" applyAlignment="1" applyProtection="1">
      <alignment horizontal="left"/>
    </xf>
    <xf numFmtId="0" fontId="29" fillId="0" borderId="0" xfId="0" applyFont="1" applyAlignment="1">
      <alignment horizontal="left" vertical="top" wrapText="1"/>
    </xf>
    <xf numFmtId="0" fontId="55" fillId="3" borderId="1" xfId="0" applyFont="1" applyFill="1" applyBorder="1" applyAlignment="1" applyProtection="1">
      <alignment horizontal="center"/>
      <protection locked="0"/>
    </xf>
    <xf numFmtId="0" fontId="55" fillId="3" borderId="9" xfId="0" applyFont="1" applyFill="1" applyBorder="1" applyAlignment="1" applyProtection="1">
      <alignment horizontal="center"/>
      <protection locked="0"/>
    </xf>
    <xf numFmtId="0" fontId="55" fillId="3" borderId="2" xfId="0" applyFont="1" applyFill="1" applyBorder="1" applyAlignment="1" applyProtection="1">
      <alignment horizontal="center"/>
      <protection locked="0"/>
    </xf>
    <xf numFmtId="0" fontId="55" fillId="3" borderId="5" xfId="0" applyFont="1" applyFill="1" applyBorder="1" applyAlignment="1" applyProtection="1">
      <alignment horizontal="center"/>
      <protection locked="0"/>
    </xf>
    <xf numFmtId="0" fontId="55" fillId="3" borderId="8" xfId="0" applyFont="1" applyFill="1" applyBorder="1" applyAlignment="1" applyProtection="1">
      <alignment horizontal="center"/>
      <protection locked="0"/>
    </xf>
    <xf numFmtId="0" fontId="55" fillId="3" borderId="6" xfId="0" applyFont="1" applyFill="1" applyBorder="1" applyAlignment="1" applyProtection="1">
      <alignment horizontal="center"/>
      <protection locked="0"/>
    </xf>
    <xf numFmtId="0" fontId="0" fillId="0" borderId="9" xfId="0" applyBorder="1" applyAlignment="1" applyProtection="1">
      <alignment horizontal="center"/>
    </xf>
    <xf numFmtId="0" fontId="0" fillId="0" borderId="2" xfId="0" applyBorder="1" applyAlignment="1" applyProtection="1">
      <alignment horizontal="center"/>
    </xf>
    <xf numFmtId="0" fontId="24" fillId="0" borderId="0" xfId="0" applyFont="1" applyFill="1" applyBorder="1" applyAlignment="1" applyProtection="1">
      <alignment horizontal="center"/>
      <protection locked="0"/>
    </xf>
    <xf numFmtId="0" fontId="21" fillId="0" borderId="0" xfId="0" applyFont="1" applyFill="1" applyBorder="1" applyAlignment="1" applyProtection="1">
      <alignment horizontal="right"/>
    </xf>
    <xf numFmtId="0" fontId="22" fillId="0" borderId="3" xfId="0" applyFont="1" applyFill="1" applyBorder="1" applyAlignment="1">
      <alignment horizontal="left" vertical="center"/>
    </xf>
    <xf numFmtId="0" fontId="22" fillId="0" borderId="0" xfId="0" applyFont="1" applyFill="1" applyBorder="1" applyAlignment="1">
      <alignment horizontal="left" vertical="center"/>
    </xf>
    <xf numFmtId="0" fontId="22" fillId="0" borderId="4" xfId="0" applyFont="1" applyFill="1" applyBorder="1" applyAlignment="1">
      <alignment horizontal="left" vertical="center"/>
    </xf>
    <xf numFmtId="0" fontId="17" fillId="8" borderId="43" xfId="0" applyFont="1" applyFill="1" applyBorder="1" applyAlignment="1" applyProtection="1">
      <alignment horizontal="left"/>
      <protection locked="0"/>
    </xf>
    <xf numFmtId="0" fontId="17" fillId="8" borderId="15" xfId="0" applyFont="1" applyFill="1" applyBorder="1" applyAlignment="1" applyProtection="1">
      <alignment horizontal="left"/>
      <protection locked="0"/>
    </xf>
    <xf numFmtId="0" fontId="17" fillId="8" borderId="14" xfId="0" applyFont="1" applyFill="1" applyBorder="1" applyAlignment="1" applyProtection="1">
      <alignment horizontal="left"/>
      <protection locked="0"/>
    </xf>
    <xf numFmtId="0" fontId="17" fillId="8" borderId="18" xfId="0" applyFont="1" applyFill="1" applyBorder="1" applyAlignment="1" applyProtection="1">
      <alignment horizontal="left"/>
      <protection locked="0"/>
    </xf>
    <xf numFmtId="0" fontId="17" fillId="8" borderId="16" xfId="0" applyFont="1" applyFill="1" applyBorder="1" applyAlignment="1" applyProtection="1">
      <alignment horizontal="left"/>
      <protection locked="0"/>
    </xf>
    <xf numFmtId="0" fontId="24" fillId="0" borderId="47" xfId="0" applyFont="1" applyFill="1" applyBorder="1" applyAlignment="1" applyProtection="1">
      <alignment horizontal="center"/>
      <protection locked="0"/>
    </xf>
    <xf numFmtId="0" fontId="24" fillId="0" borderId="26" xfId="0" applyFont="1" applyFill="1" applyBorder="1" applyAlignment="1" applyProtection="1">
      <alignment horizontal="center"/>
      <protection locked="0"/>
    </xf>
    <xf numFmtId="0" fontId="48" fillId="0" borderId="27" xfId="0" applyFont="1" applyFill="1" applyBorder="1" applyAlignment="1">
      <alignment horizontal="center" vertical="center"/>
    </xf>
    <xf numFmtId="0" fontId="48" fillId="0" borderId="66" xfId="0" applyFont="1" applyFill="1" applyBorder="1" applyAlignment="1">
      <alignment horizontal="center" vertical="center"/>
    </xf>
    <xf numFmtId="0" fontId="48" fillId="0" borderId="17" xfId="0" applyFont="1" applyFill="1" applyBorder="1" applyAlignment="1">
      <alignment horizontal="center" vertical="center"/>
    </xf>
    <xf numFmtId="0" fontId="21" fillId="0" borderId="13" xfId="0" applyFont="1" applyFill="1" applyBorder="1" applyAlignment="1">
      <alignment horizontal="right"/>
    </xf>
    <xf numFmtId="0" fontId="21" fillId="0" borderId="15" xfId="0" applyFont="1" applyFill="1" applyBorder="1" applyAlignment="1">
      <alignment horizontal="right"/>
    </xf>
    <xf numFmtId="0" fontId="22" fillId="0" borderId="24" xfId="0" applyFont="1" applyFill="1" applyBorder="1" applyAlignment="1">
      <alignment vertical="center" wrapText="1"/>
    </xf>
    <xf numFmtId="0" fontId="22" fillId="0" borderId="21" xfId="0" applyFont="1" applyFill="1" applyBorder="1" applyAlignment="1">
      <alignment vertical="center" wrapText="1"/>
    </xf>
    <xf numFmtId="0" fontId="22" fillId="0" borderId="25" xfId="0" applyFont="1" applyFill="1" applyBorder="1" applyAlignment="1">
      <alignment vertical="center" wrapText="1"/>
    </xf>
    <xf numFmtId="0" fontId="48" fillId="0" borderId="0" xfId="0" applyFont="1" applyFill="1" applyBorder="1" applyAlignment="1">
      <alignment horizontal="center" vertical="center"/>
    </xf>
    <xf numFmtId="0" fontId="6" fillId="0" borderId="10" xfId="0" applyFont="1" applyFill="1" applyBorder="1" applyAlignment="1">
      <alignment horizontal="left"/>
    </xf>
    <xf numFmtId="0" fontId="6" fillId="0" borderId="19" xfId="0" applyFont="1" applyFill="1" applyBorder="1" applyAlignment="1">
      <alignment horizontal="left"/>
    </xf>
    <xf numFmtId="0" fontId="6" fillId="0" borderId="11" xfId="0" applyFont="1" applyFill="1" applyBorder="1" applyAlignment="1">
      <alignment horizontal="left"/>
    </xf>
    <xf numFmtId="0" fontId="17" fillId="8" borderId="45" xfId="0" applyFont="1" applyFill="1" applyBorder="1" applyAlignment="1" applyProtection="1">
      <alignment horizontal="left"/>
      <protection locked="0"/>
    </xf>
    <xf numFmtId="0" fontId="17" fillId="8" borderId="21" xfId="0" applyFont="1" applyFill="1" applyBorder="1" applyAlignment="1" applyProtection="1">
      <alignment horizontal="left"/>
      <protection locked="0"/>
    </xf>
    <xf numFmtId="0" fontId="17" fillId="8" borderId="25" xfId="0" applyFont="1" applyFill="1" applyBorder="1" applyAlignment="1" applyProtection="1">
      <alignment horizontal="left"/>
      <protection locked="0"/>
    </xf>
    <xf numFmtId="0" fontId="22" fillId="0" borderId="0" xfId="0" applyFont="1" applyFill="1" applyBorder="1" applyAlignment="1">
      <alignment horizontal="right"/>
    </xf>
    <xf numFmtId="0" fontId="0" fillId="0" borderId="9"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17" fillId="0" borderId="16" xfId="0" applyFont="1" applyBorder="1" applyAlignment="1">
      <alignment horizontal="left"/>
    </xf>
    <xf numFmtId="164" fontId="17" fillId="0" borderId="25" xfId="0" applyNumberFormat="1" applyFont="1" applyBorder="1" applyAlignment="1">
      <alignment horizontal="center"/>
    </xf>
    <xf numFmtId="164" fontId="17" fillId="0" borderId="46" xfId="0" applyNumberFormat="1" applyFont="1" applyBorder="1" applyAlignment="1">
      <alignment horizontal="center"/>
    </xf>
    <xf numFmtId="0" fontId="33" fillId="0" borderId="18" xfId="0" applyFont="1" applyBorder="1" applyAlignment="1">
      <alignment horizontal="left"/>
    </xf>
    <xf numFmtId="0" fontId="33" fillId="0" borderId="16" xfId="0" applyFont="1" applyBorder="1" applyAlignment="1">
      <alignment horizontal="left"/>
    </xf>
    <xf numFmtId="0" fontId="17" fillId="0" borderId="24" xfId="0" applyFont="1" applyBorder="1" applyAlignment="1">
      <alignment horizontal="left"/>
    </xf>
    <xf numFmtId="0" fontId="17" fillId="0" borderId="21" xfId="0" applyFont="1" applyBorder="1" applyAlignment="1">
      <alignment horizontal="left"/>
    </xf>
    <xf numFmtId="0" fontId="17" fillId="0" borderId="25" xfId="0" applyFont="1" applyBorder="1" applyAlignment="1">
      <alignment horizontal="left"/>
    </xf>
    <xf numFmtId="164" fontId="17" fillId="0" borderId="16" xfId="0" applyNumberFormat="1" applyFont="1" applyBorder="1" applyAlignment="1">
      <alignment horizontal="center"/>
    </xf>
    <xf numFmtId="164" fontId="33" fillId="0" borderId="16" xfId="0" applyNumberFormat="1" applyFont="1" applyBorder="1" applyAlignment="1">
      <alignment horizontal="center"/>
    </xf>
    <xf numFmtId="164" fontId="33" fillId="0" borderId="46" xfId="0" applyNumberFormat="1" applyFont="1" applyBorder="1" applyAlignment="1">
      <alignment horizontal="center"/>
    </xf>
    <xf numFmtId="0" fontId="33" fillId="0" borderId="50" xfId="0" applyFont="1" applyBorder="1" applyAlignment="1">
      <alignment horizontal="left"/>
    </xf>
    <xf numFmtId="0" fontId="33" fillId="0" borderId="30" xfId="0" applyFont="1" applyBorder="1" applyAlignment="1">
      <alignment horizontal="left"/>
    </xf>
    <xf numFmtId="44" fontId="33" fillId="0" borderId="30" xfId="0" applyNumberFormat="1" applyFont="1" applyBorder="1" applyAlignment="1">
      <alignment horizontal="center"/>
    </xf>
    <xf numFmtId="44" fontId="33" fillId="0" borderId="29" xfId="0" applyNumberFormat="1" applyFont="1" applyBorder="1" applyAlignment="1">
      <alignment horizontal="center"/>
    </xf>
    <xf numFmtId="9" fontId="17" fillId="0" borderId="21" xfId="0" applyNumberFormat="1" applyFont="1" applyBorder="1" applyAlignment="1">
      <alignment horizontal="left"/>
    </xf>
    <xf numFmtId="0" fontId="17" fillId="0" borderId="18" xfId="0" applyFont="1" applyBorder="1" applyAlignment="1">
      <alignment horizontal="left"/>
    </xf>
    <xf numFmtId="0" fontId="17" fillId="0" borderId="46" xfId="0" applyFont="1" applyBorder="1" applyAlignment="1">
      <alignment horizontal="left"/>
    </xf>
    <xf numFmtId="0" fontId="18" fillId="20" borderId="48" xfId="0" applyFont="1" applyFill="1" applyBorder="1" applyAlignment="1">
      <alignment horizontal="center" wrapText="1"/>
    </xf>
    <xf numFmtId="0" fontId="18" fillId="20" borderId="43" xfId="0" applyFont="1" applyFill="1" applyBorder="1" applyAlignment="1">
      <alignment horizontal="center" wrapText="1"/>
    </xf>
    <xf numFmtId="0" fontId="17" fillId="0" borderId="45" xfId="0" applyFont="1" applyBorder="1" applyAlignment="1">
      <alignment horizontal="left"/>
    </xf>
    <xf numFmtId="0" fontId="17" fillId="0" borderId="22" xfId="0" applyFont="1" applyBorder="1" applyAlignment="1">
      <alignment horizontal="left"/>
    </xf>
    <xf numFmtId="164" fontId="17" fillId="0" borderId="0" xfId="0" applyNumberFormat="1" applyFont="1" applyBorder="1" applyAlignment="1">
      <alignment horizontal="center"/>
    </xf>
    <xf numFmtId="164" fontId="17" fillId="0" borderId="4" xfId="0" applyNumberFormat="1" applyFont="1" applyBorder="1" applyAlignment="1">
      <alignment horizontal="center"/>
    </xf>
    <xf numFmtId="0" fontId="21" fillId="0" borderId="0" xfId="0" applyFont="1" applyFill="1" applyBorder="1" applyAlignment="1">
      <alignment horizontal="right"/>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33" fillId="0" borderId="4" xfId="0" applyFont="1" applyBorder="1" applyAlignment="1">
      <alignment horizontal="center"/>
    </xf>
    <xf numFmtId="44" fontId="2" fillId="0" borderId="27" xfId="1" applyFont="1" applyBorder="1" applyAlignment="1">
      <alignment horizontal="center" vertical="center"/>
    </xf>
    <xf numFmtId="44" fontId="2" fillId="0" borderId="17" xfId="1" applyFont="1" applyBorder="1" applyAlignment="1">
      <alignment horizontal="center" vertical="center"/>
    </xf>
    <xf numFmtId="0" fontId="33" fillId="0" borderId="0" xfId="0" applyFont="1" applyAlignment="1">
      <alignment horizontal="right" vertical="center"/>
    </xf>
    <xf numFmtId="0" fontId="33" fillId="0" borderId="4" xfId="0" applyFont="1" applyBorder="1" applyAlignment="1">
      <alignment horizontal="right" vertical="center"/>
    </xf>
    <xf numFmtId="44" fontId="2" fillId="0" borderId="27" xfId="0" applyNumberFormat="1" applyFont="1" applyBorder="1" applyAlignment="1">
      <alignment vertical="center"/>
    </xf>
    <xf numFmtId="44" fontId="2" fillId="0" borderId="17" xfId="0" applyNumberFormat="1" applyFont="1" applyBorder="1" applyAlignment="1">
      <alignment vertical="center"/>
    </xf>
    <xf numFmtId="0" fontId="56" fillId="0" borderId="0" xfId="0" applyFont="1" applyAlignment="1">
      <alignment horizontal="center" wrapText="1"/>
    </xf>
    <xf numFmtId="0" fontId="19" fillId="0" borderId="0" xfId="0" applyFont="1" applyAlignment="1">
      <alignment horizontal="right" wrapText="1"/>
    </xf>
    <xf numFmtId="44" fontId="2" fillId="0" borderId="27" xfId="1" applyFont="1" applyBorder="1" applyAlignment="1">
      <alignment vertical="center"/>
    </xf>
    <xf numFmtId="44" fontId="2" fillId="0" borderId="17" xfId="1" applyFont="1" applyBorder="1" applyAlignment="1">
      <alignment vertical="center"/>
    </xf>
    <xf numFmtId="0" fontId="33" fillId="0" borderId="0" xfId="0" applyFont="1" applyAlignment="1">
      <alignment horizontal="right"/>
    </xf>
    <xf numFmtId="0" fontId="33" fillId="0" borderId="4" xfId="0" applyFont="1" applyBorder="1" applyAlignment="1">
      <alignment horizontal="right"/>
    </xf>
    <xf numFmtId="0" fontId="4" fillId="0" borderId="0" xfId="0" applyFont="1" applyFill="1" applyBorder="1" applyAlignment="1">
      <alignment horizontal="center" wrapText="1"/>
    </xf>
    <xf numFmtId="0" fontId="20" fillId="0" borderId="0" xfId="0" applyFont="1" applyFill="1" applyAlignment="1">
      <alignment horizontal="left"/>
    </xf>
    <xf numFmtId="0" fontId="23" fillId="0" borderId="0" xfId="0" applyFont="1" applyFill="1" applyAlignment="1">
      <alignment horizontal="center"/>
    </xf>
    <xf numFmtId="0" fontId="7" fillId="0" borderId="0" xfId="0" applyFont="1" applyFill="1" applyAlignment="1">
      <alignment horizontal="left" wrapText="1"/>
    </xf>
    <xf numFmtId="0" fontId="17" fillId="0" borderId="19"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8" xfId="0" applyFont="1" applyBorder="1" applyAlignment="1" applyProtection="1">
      <alignment horizontal="left" vertical="top" wrapText="1"/>
    </xf>
    <xf numFmtId="0" fontId="17" fillId="0" borderId="19" xfId="0" applyFont="1" applyBorder="1" applyAlignment="1" applyProtection="1">
      <alignment vertical="top" wrapText="1"/>
    </xf>
    <xf numFmtId="0" fontId="17" fillId="0" borderId="0" xfId="0" applyFont="1" applyBorder="1" applyAlignment="1" applyProtection="1">
      <alignment vertical="top" wrapText="1"/>
    </xf>
    <xf numFmtId="0" fontId="17" fillId="0" borderId="8" xfId="0" applyFont="1" applyBorder="1" applyAlignment="1" applyProtection="1">
      <alignment vertical="top" wrapText="1"/>
    </xf>
    <xf numFmtId="0" fontId="17" fillId="0" borderId="19"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8" xfId="0" applyFont="1" applyFill="1" applyBorder="1" applyAlignment="1" applyProtection="1">
      <alignment horizontal="left" vertical="top" wrapText="1"/>
    </xf>
    <xf numFmtId="0" fontId="17" fillId="0" borderId="19"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33" fillId="0" borderId="0" xfId="0" applyFont="1" applyAlignment="1" applyProtection="1">
      <alignment horizontal="right" vertical="center"/>
    </xf>
    <xf numFmtId="0" fontId="33" fillId="0" borderId="4" xfId="0" applyFont="1" applyBorder="1" applyAlignment="1" applyProtection="1">
      <alignment horizontal="right" vertical="center"/>
    </xf>
    <xf numFmtId="0" fontId="33" fillId="0" borderId="12" xfId="0" applyFont="1" applyBorder="1" applyAlignment="1" applyProtection="1">
      <alignment horizontal="center" vertical="center" wrapText="1"/>
    </xf>
    <xf numFmtId="0" fontId="33" fillId="0" borderId="38" xfId="0" applyFont="1" applyBorder="1" applyAlignment="1" applyProtection="1">
      <alignment horizontal="center" vertical="center" wrapText="1"/>
    </xf>
    <xf numFmtId="0" fontId="19" fillId="0" borderId="26"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33" fillId="0" borderId="34" xfId="0" applyFont="1" applyBorder="1" applyAlignment="1" applyProtection="1">
      <alignment horizontal="center" vertical="center" wrapText="1"/>
    </xf>
    <xf numFmtId="0" fontId="33" fillId="0" borderId="36" xfId="0" applyFont="1" applyBorder="1" applyAlignment="1" applyProtection="1">
      <alignment horizontal="center" vertical="center" wrapText="1"/>
    </xf>
    <xf numFmtId="0" fontId="33" fillId="0" borderId="12" xfId="0" applyFont="1" applyBorder="1" applyAlignment="1" applyProtection="1">
      <alignment horizontal="right" vertical="center"/>
    </xf>
    <xf numFmtId="0" fontId="17" fillId="8" borderId="24" xfId="0" applyFont="1" applyFill="1" applyBorder="1" applyAlignment="1" applyProtection="1">
      <alignment horizontal="left"/>
      <protection locked="0"/>
    </xf>
    <xf numFmtId="0" fontId="21" fillId="8" borderId="31" xfId="0" applyFont="1" applyFill="1" applyBorder="1" applyAlignment="1" applyProtection="1">
      <alignment horizontal="center" vertical="center"/>
      <protection locked="0"/>
    </xf>
    <xf numFmtId="0" fontId="21" fillId="8" borderId="33" xfId="0" applyFont="1" applyFill="1" applyBorder="1" applyAlignment="1" applyProtection="1">
      <alignment horizontal="center" vertical="center"/>
      <protection locked="0"/>
    </xf>
    <xf numFmtId="0" fontId="21" fillId="8" borderId="35" xfId="0" applyFont="1" applyFill="1" applyBorder="1" applyAlignment="1" applyProtection="1">
      <alignment horizontal="center" vertical="center"/>
      <protection locked="0"/>
    </xf>
    <xf numFmtId="0" fontId="21" fillId="8" borderId="32" xfId="0" applyFont="1" applyFill="1" applyBorder="1" applyAlignment="1" applyProtection="1">
      <alignment horizontal="center" vertical="center" wrapText="1"/>
      <protection locked="0"/>
    </xf>
    <xf numFmtId="0" fontId="21" fillId="8" borderId="34" xfId="0" applyFont="1" applyFill="1" applyBorder="1" applyAlignment="1" applyProtection="1">
      <alignment horizontal="center" vertical="center" wrapText="1"/>
      <protection locked="0"/>
    </xf>
    <xf numFmtId="0" fontId="21" fillId="8" borderId="12" xfId="0" applyFont="1" applyFill="1" applyBorder="1" applyAlignment="1" applyProtection="1">
      <alignment horizontal="center" vertical="center" wrapText="1"/>
      <protection locked="0"/>
    </xf>
    <xf numFmtId="0" fontId="21" fillId="8" borderId="38" xfId="0" applyFont="1" applyFill="1" applyBorder="1" applyAlignment="1" applyProtection="1">
      <alignment horizontal="center" vertical="center" wrapText="1"/>
      <protection locked="0"/>
    </xf>
    <xf numFmtId="0" fontId="21" fillId="8" borderId="32" xfId="0" applyFont="1" applyFill="1" applyBorder="1" applyAlignment="1" applyProtection="1">
      <alignment horizontal="center" vertical="center"/>
      <protection locked="0"/>
    </xf>
    <xf numFmtId="0" fontId="21" fillId="8" borderId="22"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protection locked="0"/>
    </xf>
    <xf numFmtId="0" fontId="21" fillId="8" borderId="7" xfId="0" applyFont="1" applyFill="1" applyBorder="1" applyAlignment="1" applyProtection="1">
      <alignment horizontal="center" vertical="center"/>
      <protection locked="0"/>
    </xf>
    <xf numFmtId="0" fontId="21" fillId="8" borderId="39" xfId="0" applyFont="1" applyFill="1" applyBorder="1" applyAlignment="1" applyProtection="1">
      <alignment horizontal="center" vertical="center"/>
      <protection locked="0"/>
    </xf>
    <xf numFmtId="0" fontId="21" fillId="8" borderId="36" xfId="0" applyFont="1" applyFill="1" applyBorder="1" applyAlignment="1" applyProtection="1">
      <alignment horizontal="center" vertical="center"/>
      <protection locked="0"/>
    </xf>
    <xf numFmtId="0" fontId="21" fillId="8" borderId="36" xfId="0" applyFont="1" applyFill="1" applyBorder="1" applyAlignment="1" applyProtection="1">
      <alignment horizontal="center" vertical="center" wrapText="1"/>
      <protection locked="0"/>
    </xf>
    <xf numFmtId="0" fontId="21" fillId="0" borderId="38" xfId="0" applyFont="1" applyBorder="1" applyAlignment="1">
      <alignment horizontal="right" vertical="top"/>
    </xf>
    <xf numFmtId="0" fontId="21" fillId="0" borderId="39" xfId="0" applyFont="1" applyBorder="1" applyAlignment="1">
      <alignment horizontal="right" vertical="top"/>
    </xf>
    <xf numFmtId="0" fontId="6" fillId="0" borderId="71" xfId="0" applyFont="1" applyFill="1" applyBorder="1" applyAlignment="1">
      <alignment horizontal="left" wrapText="1"/>
    </xf>
    <xf numFmtId="0" fontId="6" fillId="0" borderId="72" xfId="0" applyFont="1" applyFill="1" applyBorder="1" applyAlignment="1">
      <alignment horizontal="left" wrapText="1"/>
    </xf>
    <xf numFmtId="0" fontId="6" fillId="0" borderId="73" xfId="0" applyFont="1" applyFill="1" applyBorder="1" applyAlignment="1">
      <alignment horizontal="left" wrapText="1"/>
    </xf>
    <xf numFmtId="0" fontId="32" fillId="3" borderId="3" xfId="0" applyFont="1" applyFill="1" applyBorder="1" applyAlignment="1">
      <alignment horizontal="center" wrapText="1"/>
    </xf>
    <xf numFmtId="0" fontId="32" fillId="3" borderId="0" xfId="0" applyFont="1" applyFill="1" applyBorder="1" applyAlignment="1">
      <alignment horizontal="center" wrapText="1"/>
    </xf>
    <xf numFmtId="0" fontId="32" fillId="3" borderId="4" xfId="0" applyFont="1" applyFill="1" applyBorder="1" applyAlignment="1">
      <alignment horizontal="center" wrapText="1"/>
    </xf>
    <xf numFmtId="0" fontId="32" fillId="3" borderId="5" xfId="0" applyFont="1" applyFill="1" applyBorder="1" applyAlignment="1">
      <alignment horizontal="center" wrapText="1"/>
    </xf>
    <xf numFmtId="0" fontId="32" fillId="3" borderId="8" xfId="0" applyFont="1" applyFill="1" applyBorder="1" applyAlignment="1">
      <alignment horizontal="center" wrapText="1"/>
    </xf>
    <xf numFmtId="0" fontId="32" fillId="3" borderId="6" xfId="0" applyFont="1" applyFill="1" applyBorder="1" applyAlignment="1">
      <alignment horizontal="center" wrapText="1"/>
    </xf>
    <xf numFmtId="0" fontId="38" fillId="0" borderId="0" xfId="0" applyFont="1" applyAlignment="1">
      <alignment horizontal="right" vertical="center"/>
    </xf>
    <xf numFmtId="0" fontId="38" fillId="0" borderId="4" xfId="0" applyFont="1" applyBorder="1" applyAlignment="1">
      <alignment horizontal="right" vertical="center"/>
    </xf>
    <xf numFmtId="44" fontId="7" fillId="0" borderId="5" xfId="1" applyFont="1" applyFill="1" applyBorder="1" applyAlignment="1">
      <alignment horizontal="center" vertical="center"/>
    </xf>
    <xf numFmtId="44" fontId="7" fillId="0" borderId="6" xfId="1" applyFont="1" applyFill="1" applyBorder="1" applyAlignment="1">
      <alignment horizontal="center" vertical="center"/>
    </xf>
    <xf numFmtId="0" fontId="38" fillId="0" borderId="12" xfId="0" applyFont="1" applyBorder="1" applyAlignment="1">
      <alignment horizontal="center" wrapText="1"/>
    </xf>
    <xf numFmtId="0" fontId="38" fillId="0" borderId="0" xfId="0" applyFont="1" applyBorder="1" applyAlignment="1">
      <alignment horizontal="center" wrapText="1"/>
    </xf>
    <xf numFmtId="0" fontId="19" fillId="0" borderId="26" xfId="0" applyFont="1" applyFill="1" applyBorder="1" applyAlignment="1">
      <alignment horizontal="center"/>
    </xf>
    <xf numFmtId="0" fontId="19" fillId="0" borderId="36" xfId="0" applyFont="1" applyFill="1" applyBorder="1" applyAlignment="1">
      <alignment horizontal="center"/>
    </xf>
    <xf numFmtId="44" fontId="7" fillId="0" borderId="27" xfId="0" applyNumberFormat="1" applyFont="1" applyFill="1" applyBorder="1" applyAlignment="1">
      <alignment horizontal="center" vertical="center"/>
    </xf>
    <xf numFmtId="44" fontId="7" fillId="0" borderId="17" xfId="0" applyNumberFormat="1" applyFont="1" applyFill="1" applyBorder="1" applyAlignment="1">
      <alignment horizontal="center" vertical="center"/>
    </xf>
    <xf numFmtId="0" fontId="38" fillId="0" borderId="8" xfId="0" applyFont="1" applyBorder="1" applyAlignment="1">
      <alignment horizontal="right"/>
    </xf>
    <xf numFmtId="0" fontId="38" fillId="0" borderId="6" xfId="0" applyFont="1" applyBorder="1" applyAlignment="1">
      <alignment horizontal="right"/>
    </xf>
    <xf numFmtId="44" fontId="2" fillId="0" borderId="27" xfId="0" applyNumberFormat="1" applyFont="1" applyBorder="1" applyAlignment="1">
      <alignment horizontal="center" vertical="center"/>
    </xf>
    <xf numFmtId="44" fontId="2" fillId="0" borderId="17" xfId="0" applyNumberFormat="1" applyFont="1" applyBorder="1" applyAlignment="1">
      <alignment horizontal="center" vertical="center"/>
    </xf>
    <xf numFmtId="0" fontId="31" fillId="8" borderId="0" xfId="4" applyFill="1" applyAlignment="1">
      <alignment horizontal="left"/>
    </xf>
    <xf numFmtId="44" fontId="2" fillId="0" borderId="5" xfId="1" applyFont="1" applyBorder="1" applyAlignment="1">
      <alignment horizontal="center" vertical="center"/>
    </xf>
    <xf numFmtId="44" fontId="2" fillId="0" borderId="6" xfId="1" applyFont="1" applyBorder="1" applyAlignment="1">
      <alignment horizontal="center" vertical="center"/>
    </xf>
    <xf numFmtId="0" fontId="28" fillId="0" borderId="15" xfId="0" applyFont="1" applyBorder="1" applyAlignment="1">
      <alignment horizontal="left" wrapText="1"/>
    </xf>
    <xf numFmtId="0" fontId="33" fillId="20" borderId="15" xfId="0" applyFont="1" applyFill="1" applyBorder="1" applyAlignment="1" applyProtection="1">
      <alignment horizontal="center"/>
    </xf>
    <xf numFmtId="0" fontId="33" fillId="0" borderId="15" xfId="0" applyFont="1" applyBorder="1" applyAlignment="1" applyProtection="1">
      <alignment horizontal="center"/>
    </xf>
    <xf numFmtId="0" fontId="33" fillId="20" borderId="19" xfId="0" applyFont="1" applyFill="1" applyBorder="1" applyAlignment="1" applyProtection="1">
      <alignment horizontal="center"/>
    </xf>
    <xf numFmtId="0" fontId="33" fillId="0" borderId="19" xfId="0" applyFont="1" applyBorder="1" applyAlignment="1" applyProtection="1">
      <alignment horizontal="center"/>
    </xf>
    <xf numFmtId="44" fontId="26" fillId="0" borderId="1" xfId="1" applyFont="1" applyBorder="1" applyAlignment="1" applyProtection="1">
      <alignment horizontal="left"/>
    </xf>
    <xf numFmtId="44" fontId="26" fillId="0" borderId="9" xfId="1" applyFont="1" applyBorder="1" applyAlignment="1" applyProtection="1">
      <alignment horizontal="left"/>
    </xf>
    <xf numFmtId="44" fontId="26" fillId="0" borderId="2" xfId="1" applyFont="1" applyBorder="1" applyAlignment="1" applyProtection="1">
      <alignment horizontal="left"/>
    </xf>
    <xf numFmtId="44" fontId="26" fillId="0" borderId="5" xfId="1" applyFont="1" applyBorder="1" applyAlignment="1" applyProtection="1">
      <alignment horizontal="left"/>
    </xf>
    <xf numFmtId="44" fontId="26" fillId="0" borderId="8" xfId="1" applyFont="1" applyBorder="1" applyAlignment="1" applyProtection="1">
      <alignment horizontal="left"/>
    </xf>
    <xf numFmtId="44" fontId="26" fillId="0" borderId="6" xfId="1" applyFont="1" applyBorder="1" applyAlignment="1" applyProtection="1">
      <alignment horizontal="left"/>
    </xf>
    <xf numFmtId="0" fontId="43" fillId="3" borderId="1" xfId="0" applyFont="1" applyFill="1" applyBorder="1" applyAlignment="1">
      <alignment horizontal="center"/>
    </xf>
    <xf numFmtId="0" fontId="43" fillId="3" borderId="9" xfId="0" applyFont="1" applyFill="1" applyBorder="1" applyAlignment="1">
      <alignment horizontal="center"/>
    </xf>
    <xf numFmtId="0" fontId="43" fillId="3" borderId="2" xfId="0" applyFont="1" applyFill="1" applyBorder="1" applyAlignment="1">
      <alignment horizontal="center"/>
    </xf>
    <xf numFmtId="0" fontId="12" fillId="7" borderId="2" xfId="0" applyFont="1" applyFill="1" applyBorder="1" applyAlignment="1">
      <alignment horizontal="center" wrapText="1"/>
    </xf>
    <xf numFmtId="0" fontId="12" fillId="7" borderId="4" xfId="0" applyFont="1" applyFill="1" applyBorder="1" applyAlignment="1">
      <alignment horizontal="center" wrapText="1"/>
    </xf>
    <xf numFmtId="0" fontId="15" fillId="4" borderId="10" xfId="0" applyFont="1" applyFill="1" applyBorder="1" applyAlignment="1">
      <alignment horizontal="center" wrapText="1"/>
    </xf>
    <xf numFmtId="0" fontId="15" fillId="4" borderId="11" xfId="0" applyFont="1" applyFill="1" applyBorder="1" applyAlignment="1">
      <alignment horizontal="center" wrapText="1"/>
    </xf>
    <xf numFmtId="0" fontId="0" fillId="25" borderId="0" xfId="0" applyFill="1" applyAlignment="1">
      <alignment horizontal="center" wrapText="1"/>
    </xf>
    <xf numFmtId="0" fontId="0" fillId="25" borderId="0" xfId="0" applyFill="1" applyAlignment="1">
      <alignment horizontal="center"/>
    </xf>
  </cellXfs>
  <cellStyles count="6">
    <cellStyle name="Comma" xfId="3" builtinId="3"/>
    <cellStyle name="Currency" xfId="1" builtinId="4"/>
    <cellStyle name="Currency 2" xfId="5" xr:uid="{00000000-0005-0000-0000-000002000000}"/>
    <cellStyle name="Hyperlink" xfId="4" builtinId="8"/>
    <cellStyle name="Normal" xfId="0" builtinId="0"/>
    <cellStyle name="Percent" xfId="2" builtinId="5"/>
  </cellStyles>
  <dxfs count="0"/>
  <tableStyles count="0" defaultTableStyle="TableStyleMedium2" defaultPivotStyle="PivotStyleLight16"/>
  <colors>
    <mruColors>
      <color rgb="FFBD94C4"/>
      <color rgb="FFDEC9E1"/>
      <color rgb="FFA97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881063</xdr:colOff>
      <xdr:row>1</xdr:row>
      <xdr:rowOff>10582</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0" y="0"/>
          <a:ext cx="6560344" cy="355863"/>
        </a:xfrm>
        <a:prstGeom prst="rect">
          <a:avLst/>
        </a:prstGeom>
      </xdr:spPr>
    </xdr:pic>
    <xdr:clientData/>
  </xdr:twoCellAnchor>
  <xdr:twoCellAnchor editAs="oneCell">
    <xdr:from>
      <xdr:col>11</xdr:col>
      <xdr:colOff>0</xdr:colOff>
      <xdr:row>0</xdr:row>
      <xdr:rowOff>0</xdr:rowOff>
    </xdr:from>
    <xdr:to>
      <xdr:col>19</xdr:col>
      <xdr:colOff>881063</xdr:colOff>
      <xdr:row>1</xdr:row>
      <xdr:rowOff>10582</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7810500" y="0"/>
          <a:ext cx="6572250" cy="355863"/>
        </a:xfrm>
        <a:prstGeom prst="rect">
          <a:avLst/>
        </a:prstGeom>
      </xdr:spPr>
    </xdr:pic>
    <xdr:clientData/>
  </xdr:twoCellAnchor>
  <xdr:oneCellAnchor>
    <xdr:from>
      <xdr:col>22</xdr:col>
      <xdr:colOff>11905</xdr:colOff>
      <xdr:row>0</xdr:row>
      <xdr:rowOff>0</xdr:rowOff>
    </xdr:from>
    <xdr:ext cx="6512719" cy="355863"/>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5668624" y="0"/>
          <a:ext cx="6512719" cy="355863"/>
        </a:xfrm>
        <a:prstGeom prst="rect">
          <a:avLst/>
        </a:prstGeom>
      </xdr:spPr>
    </xdr:pic>
    <xdr:clientData/>
  </xdr:oneCellAnchor>
  <xdr:oneCellAnchor>
    <xdr:from>
      <xdr:col>32</xdr:col>
      <xdr:colOff>119062</xdr:colOff>
      <xdr:row>0</xdr:row>
      <xdr:rowOff>0</xdr:rowOff>
    </xdr:from>
    <xdr:ext cx="6548438" cy="355863"/>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3431500" y="0"/>
          <a:ext cx="6548438" cy="3558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oprals.state.gov/web920/per_diem.asp" TargetMode="External"/><Relationship Id="rId1" Type="http://schemas.openxmlformats.org/officeDocument/2006/relationships/hyperlink" Target="https://www.gsa.gov/travel/plan-book/per-diem-rates"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4" tint="0.39997558519241921"/>
  </sheetPr>
  <dimension ref="A1:A31"/>
  <sheetViews>
    <sheetView zoomScale="90" zoomScaleNormal="90" workbookViewId="0">
      <selection activeCell="D17" sqref="D17"/>
    </sheetView>
  </sheetViews>
  <sheetFormatPr defaultRowHeight="15" x14ac:dyDescent="0.25"/>
  <cols>
    <col min="1" max="1" width="92.7109375" customWidth="1"/>
  </cols>
  <sheetData>
    <row r="1" spans="1:1" ht="15.75" x14ac:dyDescent="0.25">
      <c r="A1" s="881" t="s">
        <v>679</v>
      </c>
    </row>
    <row r="2" spans="1:1" x14ac:dyDescent="0.25">
      <c r="A2" s="882"/>
    </row>
    <row r="3" spans="1:1" x14ac:dyDescent="0.25">
      <c r="A3" s="883" t="s">
        <v>680</v>
      </c>
    </row>
    <row r="4" spans="1:1" x14ac:dyDescent="0.25">
      <c r="A4" s="882"/>
    </row>
    <row r="5" spans="1:1" ht="30" x14ac:dyDescent="0.25">
      <c r="A5" s="882" t="s">
        <v>716</v>
      </c>
    </row>
    <row r="6" spans="1:1" x14ac:dyDescent="0.25">
      <c r="A6" s="882"/>
    </row>
    <row r="7" spans="1:1" ht="30" x14ac:dyDescent="0.25">
      <c r="A7" s="882" t="s">
        <v>681</v>
      </c>
    </row>
    <row r="8" spans="1:1" x14ac:dyDescent="0.25">
      <c r="A8" s="882"/>
    </row>
    <row r="9" spans="1:1" ht="30" x14ac:dyDescent="0.25">
      <c r="A9" s="882" t="s">
        <v>718</v>
      </c>
    </row>
    <row r="10" spans="1:1" x14ac:dyDescent="0.25">
      <c r="A10" s="882"/>
    </row>
    <row r="11" spans="1:1" ht="45" x14ac:dyDescent="0.25">
      <c r="A11" s="882" t="s">
        <v>717</v>
      </c>
    </row>
    <row r="12" spans="1:1" x14ac:dyDescent="0.25">
      <c r="A12" s="882"/>
    </row>
    <row r="13" spans="1:1" x14ac:dyDescent="0.25">
      <c r="A13" s="882" t="s">
        <v>682</v>
      </c>
    </row>
    <row r="14" spans="1:1" x14ac:dyDescent="0.25">
      <c r="A14" s="882"/>
    </row>
    <row r="15" spans="1:1" ht="30" x14ac:dyDescent="0.25">
      <c r="A15" s="882" t="s">
        <v>683</v>
      </c>
    </row>
    <row r="16" spans="1:1" x14ac:dyDescent="0.25">
      <c r="A16" s="882"/>
    </row>
    <row r="17" spans="1:1" ht="30" x14ac:dyDescent="0.25">
      <c r="A17" s="882" t="s">
        <v>684</v>
      </c>
    </row>
    <row r="18" spans="1:1" ht="30" x14ac:dyDescent="0.25">
      <c r="A18" s="416" t="s">
        <v>688</v>
      </c>
    </row>
    <row r="19" spans="1:1" ht="30" x14ac:dyDescent="0.25">
      <c r="A19" s="416" t="s">
        <v>689</v>
      </c>
    </row>
    <row r="20" spans="1:1" ht="30" x14ac:dyDescent="0.25">
      <c r="A20" s="416" t="s">
        <v>690</v>
      </c>
    </row>
    <row r="21" spans="1:1" x14ac:dyDescent="0.25">
      <c r="A21" s="416"/>
    </row>
    <row r="22" spans="1:1" ht="15" customHeight="1" x14ac:dyDescent="0.25">
      <c r="A22" s="1059" t="s">
        <v>731</v>
      </c>
    </row>
    <row r="23" spans="1:1" x14ac:dyDescent="0.25">
      <c r="A23" s="1060"/>
    </row>
    <row r="24" spans="1:1" x14ac:dyDescent="0.25">
      <c r="A24" s="1060"/>
    </row>
    <row r="25" spans="1:1" x14ac:dyDescent="0.25">
      <c r="A25" s="1061"/>
    </row>
    <row r="26" spans="1:1" x14ac:dyDescent="0.25">
      <c r="A26" s="882"/>
    </row>
    <row r="27" spans="1:1" x14ac:dyDescent="0.25">
      <c r="A27" s="882" t="s">
        <v>685</v>
      </c>
    </row>
    <row r="28" spans="1:1" ht="30" x14ac:dyDescent="0.25">
      <c r="A28" s="890" t="s">
        <v>686</v>
      </c>
    </row>
    <row r="29" spans="1:1" x14ac:dyDescent="0.25">
      <c r="A29" s="884"/>
    </row>
    <row r="30" spans="1:1" x14ac:dyDescent="0.25">
      <c r="A30" s="827"/>
    </row>
    <row r="31" spans="1:1" x14ac:dyDescent="0.25">
      <c r="A31" s="884" t="s">
        <v>687</v>
      </c>
    </row>
  </sheetData>
  <sheetProtection algorithmName="SHA-512" hashValue="c/aLIvZKTz1avkv/WtHBJBekvQCF1E7pw26t9nyPZ5z45M8b+lIE5ttuENuz7Hy2I9z89KNToqBD6u30P0+3IA==" saltValue="KIBLf3cFONKEnmbLnrWvCQ==" spinCount="100000" sheet="1" objects="1" scenarios="1"/>
  <mergeCells count="1">
    <mergeCell ref="A22:A25"/>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K48"/>
  <sheetViews>
    <sheetView topLeftCell="A24" zoomScale="70" zoomScaleNormal="70" workbookViewId="0">
      <selection activeCell="B37" sqref="B37"/>
    </sheetView>
  </sheetViews>
  <sheetFormatPr defaultRowHeight="15" x14ac:dyDescent="0.25"/>
  <cols>
    <col min="1" max="1" width="17.42578125" bestFit="1" customWidth="1"/>
    <col min="2" max="9" width="16.85546875" customWidth="1"/>
    <col min="11" max="11" width="20.7109375" customWidth="1"/>
  </cols>
  <sheetData>
    <row r="1" spans="1:11" x14ac:dyDescent="0.25">
      <c r="A1" t="s">
        <v>518</v>
      </c>
      <c r="B1" t="str">
        <f>BudgetSummaryDetailed!G5</f>
        <v>RESEARCH</v>
      </c>
      <c r="C1" s="471">
        <f>VLOOKUP(B1,A3:D6,4,FALSE)</f>
        <v>0.56999999999999995</v>
      </c>
    </row>
    <row r="3" spans="1:11" x14ac:dyDescent="0.25">
      <c r="A3" t="s">
        <v>519</v>
      </c>
      <c r="B3">
        <v>0.56999999999999995</v>
      </c>
      <c r="C3">
        <v>1.57</v>
      </c>
      <c r="D3" s="470">
        <v>0.56999999999999995</v>
      </c>
    </row>
    <row r="4" spans="1:11" x14ac:dyDescent="0.25">
      <c r="A4" t="s">
        <v>520</v>
      </c>
      <c r="B4">
        <v>0.38</v>
      </c>
      <c r="C4">
        <v>1.38</v>
      </c>
      <c r="D4" s="470">
        <v>0.38</v>
      </c>
    </row>
    <row r="5" spans="1:11" x14ac:dyDescent="0.25">
      <c r="A5" t="s">
        <v>695</v>
      </c>
      <c r="B5">
        <v>0</v>
      </c>
      <c r="C5">
        <v>1</v>
      </c>
      <c r="D5" s="470">
        <v>0</v>
      </c>
    </row>
    <row r="6" spans="1:11" x14ac:dyDescent="0.25">
      <c r="A6" t="s">
        <v>521</v>
      </c>
      <c r="B6">
        <v>0.38</v>
      </c>
      <c r="C6">
        <v>1.38</v>
      </c>
    </row>
    <row r="7" spans="1:11" x14ac:dyDescent="0.25">
      <c r="A7" t="s">
        <v>527</v>
      </c>
      <c r="B7">
        <v>0.64749999999999996</v>
      </c>
      <c r="C7">
        <v>1.6475</v>
      </c>
    </row>
    <row r="9" spans="1:11" ht="15.75" thickBot="1" x14ac:dyDescent="0.3">
      <c r="A9" t="s">
        <v>618</v>
      </c>
    </row>
    <row r="10" spans="1:11" x14ac:dyDescent="0.25">
      <c r="A10" s="419" t="s">
        <v>522</v>
      </c>
      <c r="B10" s="420"/>
      <c r="C10" s="420"/>
      <c r="D10" s="420"/>
      <c r="E10" s="420"/>
      <c r="F10" s="420"/>
      <c r="G10" s="420"/>
      <c r="H10" s="420"/>
      <c r="I10" s="420"/>
      <c r="J10" s="427"/>
      <c r="K10" s="427"/>
    </row>
    <row r="11" spans="1:11" x14ac:dyDescent="0.25">
      <c r="A11" s="421" t="s">
        <v>240</v>
      </c>
      <c r="B11" s="316" t="s">
        <v>199</v>
      </c>
      <c r="C11" s="316" t="s">
        <v>241</v>
      </c>
      <c r="D11" s="417" t="s">
        <v>247</v>
      </c>
      <c r="E11" s="417" t="s">
        <v>248</v>
      </c>
      <c r="F11" s="316" t="s">
        <v>239</v>
      </c>
      <c r="G11" s="418" t="s">
        <v>523</v>
      </c>
      <c r="H11" s="418" t="s">
        <v>524</v>
      </c>
      <c r="I11" s="418" t="s">
        <v>525</v>
      </c>
      <c r="J11" s="428" t="s">
        <v>129</v>
      </c>
      <c r="K11" s="428" t="s">
        <v>526</v>
      </c>
    </row>
    <row r="12" spans="1:11" ht="15.75" thickBot="1" x14ac:dyDescent="0.3">
      <c r="A12" s="422" t="s">
        <v>433</v>
      </c>
      <c r="B12" s="423">
        <f>OtherDirectCosts!G11</f>
        <v>0</v>
      </c>
      <c r="C12" s="423">
        <f>OtherDirectCosts!G34</f>
        <v>0</v>
      </c>
      <c r="D12" s="424">
        <f>OtherDirectCosts!E74+OtherDirectCosts!E77+OtherDirectCosts!E80</f>
        <v>0</v>
      </c>
      <c r="E12" s="424">
        <f>OtherDirectCosts!G95</f>
        <v>0</v>
      </c>
      <c r="F12" s="423">
        <f>PersonCalcYr1!AR172+PersonCalcYr1!AR204+PersonCalcYr1!AR236+PersonCalcYr1!AR268+PersonCalcYr1!AR300</f>
        <v>0</v>
      </c>
      <c r="G12" s="425">
        <f>SUM(B12:F12)</f>
        <v>0</v>
      </c>
      <c r="H12" s="426">
        <f>BudgetSummaryDetailed!H49:I49</f>
        <v>0</v>
      </c>
      <c r="I12" s="425">
        <f>H12-G12</f>
        <v>0</v>
      </c>
      <c r="J12" s="429">
        <f>VLOOKUP($B$1,$A$3:$B$5,2,FALSE)</f>
        <v>0.56999999999999995</v>
      </c>
      <c r="K12" s="431">
        <f>I12*J12</f>
        <v>0</v>
      </c>
    </row>
    <row r="13" spans="1:11" ht="15.75" thickBot="1" x14ac:dyDescent="0.3">
      <c r="J13" s="430">
        <f>VLOOKUP($B$1,$A$3:$C$5,3,FALSE)</f>
        <v>1.57</v>
      </c>
      <c r="K13" s="430"/>
    </row>
    <row r="15" spans="1:11" ht="15.75" thickBot="1" x14ac:dyDescent="0.3">
      <c r="A15" t="s">
        <v>619</v>
      </c>
    </row>
    <row r="16" spans="1:11" x14ac:dyDescent="0.25">
      <c r="A16" s="419" t="s">
        <v>522</v>
      </c>
      <c r="B16" s="420"/>
      <c r="C16" s="420"/>
      <c r="D16" s="420"/>
      <c r="E16" s="420"/>
      <c r="F16" s="420"/>
      <c r="G16" s="420"/>
      <c r="H16" s="420"/>
      <c r="I16" s="420"/>
      <c r="J16" s="427"/>
      <c r="K16" s="427"/>
    </row>
    <row r="17" spans="1:11" x14ac:dyDescent="0.25">
      <c r="A17" s="421" t="s">
        <v>240</v>
      </c>
      <c r="B17" s="316" t="s">
        <v>199</v>
      </c>
      <c r="C17" s="316" t="s">
        <v>241</v>
      </c>
      <c r="D17" s="417" t="s">
        <v>247</v>
      </c>
      <c r="E17" s="417" t="s">
        <v>248</v>
      </c>
      <c r="F17" s="316" t="s">
        <v>239</v>
      </c>
      <c r="G17" s="418" t="s">
        <v>523</v>
      </c>
      <c r="H17" s="418" t="s">
        <v>524</v>
      </c>
      <c r="I17" s="418" t="s">
        <v>525</v>
      </c>
      <c r="J17" s="428" t="s">
        <v>129</v>
      </c>
      <c r="K17" s="428" t="s">
        <v>526</v>
      </c>
    </row>
    <row r="18" spans="1:11" ht="15.75" thickBot="1" x14ac:dyDescent="0.3">
      <c r="A18" s="422" t="s">
        <v>596</v>
      </c>
      <c r="B18" s="423">
        <f>OtherDirectCosts!P11</f>
        <v>0</v>
      </c>
      <c r="C18" s="423">
        <f>OtherDirectCosts!P34</f>
        <v>0</v>
      </c>
      <c r="D18" s="424">
        <f>OtherDirectCosts!N74+OtherDirectCosts!N77+OtherDirectCosts!N80</f>
        <v>0</v>
      </c>
      <c r="E18" s="424">
        <f>OtherDirectCosts!P95</f>
        <v>0</v>
      </c>
      <c r="F18" s="423">
        <f>PersonCalcYr2!BD212+PersonCalcYr2!BD254+PersonCalcYr2!BD296+PersonCalcYr2!BD338+PersonCalcYr2!BD382</f>
        <v>0</v>
      </c>
      <c r="G18" s="425">
        <f>SUM(B18:F18)</f>
        <v>0</v>
      </c>
      <c r="H18" s="426">
        <f>BudgetSummaryDetailed!S49</f>
        <v>0</v>
      </c>
      <c r="I18" s="425">
        <f>H18-G18</f>
        <v>0</v>
      </c>
      <c r="J18" s="429">
        <f>VLOOKUP($B$1,$A$3:$B$5,2,FALSE)</f>
        <v>0.56999999999999995</v>
      </c>
      <c r="K18" s="431">
        <f>I18*J18</f>
        <v>0</v>
      </c>
    </row>
    <row r="19" spans="1:11" ht="15.75" thickBot="1" x14ac:dyDescent="0.3">
      <c r="J19" s="430">
        <f>VLOOKUP($B$1,$A$3:$C$5,3,FALSE)</f>
        <v>1.57</v>
      </c>
      <c r="K19" s="430"/>
    </row>
    <row r="21" spans="1:11" ht="15.75" thickBot="1" x14ac:dyDescent="0.3">
      <c r="A21" t="s">
        <v>655</v>
      </c>
    </row>
    <row r="22" spans="1:11" x14ac:dyDescent="0.25">
      <c r="A22" s="419" t="s">
        <v>522</v>
      </c>
      <c r="B22" s="420"/>
      <c r="C22" s="420"/>
      <c r="D22" s="420"/>
      <c r="E22" s="420"/>
      <c r="F22" s="420"/>
      <c r="G22" s="420"/>
      <c r="H22" s="420"/>
      <c r="I22" s="420"/>
      <c r="J22" s="427"/>
      <c r="K22" s="427"/>
    </row>
    <row r="23" spans="1:11" x14ac:dyDescent="0.25">
      <c r="A23" s="421" t="s">
        <v>240</v>
      </c>
      <c r="B23" s="316" t="s">
        <v>199</v>
      </c>
      <c r="C23" s="316" t="s">
        <v>241</v>
      </c>
      <c r="D23" s="417" t="s">
        <v>247</v>
      </c>
      <c r="E23" s="417" t="s">
        <v>248</v>
      </c>
      <c r="F23" s="316" t="s">
        <v>239</v>
      </c>
      <c r="G23" s="418" t="s">
        <v>523</v>
      </c>
      <c r="H23" s="418" t="s">
        <v>524</v>
      </c>
      <c r="I23" s="418" t="s">
        <v>525</v>
      </c>
      <c r="J23" s="428" t="s">
        <v>129</v>
      </c>
      <c r="K23" s="428" t="s">
        <v>526</v>
      </c>
    </row>
    <row r="24" spans="1:11" ht="15.75" thickBot="1" x14ac:dyDescent="0.3">
      <c r="A24" s="844" t="s">
        <v>654</v>
      </c>
      <c r="B24" s="845">
        <f>OtherDirectCosts!Y11</f>
        <v>0</v>
      </c>
      <c r="C24" s="845">
        <f>OtherDirectCosts!Y34</f>
        <v>0</v>
      </c>
      <c r="D24" s="846">
        <f>OtherDirectCosts!W74+OtherDirectCosts!W77+OtherDirectCosts!W80</f>
        <v>0</v>
      </c>
      <c r="E24" s="846">
        <f>OtherDirectCosts!Y95</f>
        <v>0</v>
      </c>
      <c r="F24" s="845">
        <f>Personnel!Y70+Personnel!Y78+Personnel!Y86+Personnel!Y94+Personnel!Y102</f>
        <v>0</v>
      </c>
      <c r="G24" s="847">
        <f>SUM(B24:F24)</f>
        <v>0</v>
      </c>
      <c r="H24" s="591">
        <f>BudgetSummaryDetailed!AD49</f>
        <v>0</v>
      </c>
      <c r="I24" s="847">
        <f>H24-G24</f>
        <v>0</v>
      </c>
      <c r="J24" s="848">
        <f>VLOOKUP($B$1,$A$3:$B$5,2,FALSE)</f>
        <v>0.56999999999999995</v>
      </c>
      <c r="K24" s="849">
        <f>I24*J24</f>
        <v>0</v>
      </c>
    </row>
    <row r="25" spans="1:11" ht="15.75" thickBot="1" x14ac:dyDescent="0.3">
      <c r="A25" s="31"/>
      <c r="B25" s="31"/>
      <c r="C25" s="31"/>
      <c r="D25" s="31"/>
      <c r="E25" s="31"/>
      <c r="F25" s="31"/>
      <c r="G25" s="31"/>
      <c r="H25" s="31"/>
      <c r="I25" s="31"/>
      <c r="J25" s="850">
        <f>VLOOKUP($B$1,$A$3:$C$5,3,FALSE)</f>
        <v>1.57</v>
      </c>
      <c r="K25" s="850"/>
    </row>
    <row r="34" spans="1:5" x14ac:dyDescent="0.25">
      <c r="A34" t="s">
        <v>629</v>
      </c>
      <c r="B34" t="s">
        <v>630</v>
      </c>
      <c r="C34" t="s">
        <v>631</v>
      </c>
      <c r="D34" t="s">
        <v>632</v>
      </c>
    </row>
    <row r="35" spans="1:5" x14ac:dyDescent="0.25">
      <c r="A35" t="s">
        <v>633</v>
      </c>
      <c r="B35" s="745">
        <f>OtherDirectCosts!F72</f>
        <v>0</v>
      </c>
      <c r="C35" s="745">
        <f>OtherDirectCosts!O72</f>
        <v>0</v>
      </c>
      <c r="D35" s="745">
        <f>OtherDirectCosts!X72</f>
        <v>0</v>
      </c>
      <c r="E35" t="s">
        <v>667</v>
      </c>
    </row>
    <row r="36" spans="1:5" x14ac:dyDescent="0.25">
      <c r="B36" s="457">
        <f>IF(B35&gt;=25000,25000,B35)</f>
        <v>0</v>
      </c>
      <c r="C36" s="457">
        <f>IF(C35&lt;=C38, C35,C38)</f>
        <v>0</v>
      </c>
      <c r="D36" s="457">
        <f>IF(D35&lt;=D38, D35,D38)</f>
        <v>0</v>
      </c>
      <c r="E36" t="s">
        <v>208</v>
      </c>
    </row>
    <row r="37" spans="1:5" x14ac:dyDescent="0.25">
      <c r="B37" s="745">
        <f>B35-B36</f>
        <v>0</v>
      </c>
      <c r="C37" s="745">
        <f>C35-C36</f>
        <v>0</v>
      </c>
      <c r="D37" s="745">
        <f>D35-D36</f>
        <v>0</v>
      </c>
      <c r="E37" t="s">
        <v>668</v>
      </c>
    </row>
    <row r="38" spans="1:5" x14ac:dyDescent="0.25">
      <c r="C38" s="457">
        <f>IF(B36&gt;=25000,0,25000-B36)</f>
        <v>25000</v>
      </c>
      <c r="D38" s="457">
        <f>IF((B36+C36)&gt;=25000,0,25000-(B36+C36))</f>
        <v>25000</v>
      </c>
    </row>
    <row r="39" spans="1:5" x14ac:dyDescent="0.25">
      <c r="C39" s="457"/>
    </row>
    <row r="40" spans="1:5" x14ac:dyDescent="0.25">
      <c r="A40" t="s">
        <v>634</v>
      </c>
      <c r="B40" s="745">
        <f>OtherDirectCosts!F75</f>
        <v>0</v>
      </c>
      <c r="C40" s="745">
        <f>OtherDirectCosts!O75</f>
        <v>0</v>
      </c>
      <c r="D40" s="745">
        <f>OtherDirectCosts!X75</f>
        <v>0</v>
      </c>
      <c r="E40" t="s">
        <v>667</v>
      </c>
    </row>
    <row r="41" spans="1:5" x14ac:dyDescent="0.25">
      <c r="B41" s="457">
        <f>IF(B40&gt;=25000,25000,B40)</f>
        <v>0</v>
      </c>
      <c r="C41" s="457">
        <f>IF(C40&lt;=C43, C40,C43)</f>
        <v>0</v>
      </c>
      <c r="D41" s="457">
        <f>IF(D40&lt;=D43, D40,D43)</f>
        <v>0</v>
      </c>
      <c r="E41" t="s">
        <v>208</v>
      </c>
    </row>
    <row r="42" spans="1:5" x14ac:dyDescent="0.25">
      <c r="B42" s="745">
        <f>B40-B41</f>
        <v>0</v>
      </c>
      <c r="C42" s="745">
        <f>C40-C41</f>
        <v>0</v>
      </c>
      <c r="D42" s="745">
        <f>D40-D41</f>
        <v>0</v>
      </c>
      <c r="E42" t="s">
        <v>668</v>
      </c>
    </row>
    <row r="43" spans="1:5" x14ac:dyDescent="0.25">
      <c r="C43" s="457">
        <f>IF(B41&gt;=25000,0,25000-B41)</f>
        <v>25000</v>
      </c>
      <c r="D43" s="457">
        <f>IF((B41+C41)&gt;=25000,0,25000-(B41+C41))</f>
        <v>25000</v>
      </c>
    </row>
    <row r="45" spans="1:5" x14ac:dyDescent="0.25">
      <c r="A45" t="s">
        <v>635</v>
      </c>
      <c r="B45" s="745">
        <f>OtherDirectCosts!F78</f>
        <v>0</v>
      </c>
      <c r="C45" s="745">
        <f>OtherDirectCosts!O78</f>
        <v>0</v>
      </c>
      <c r="D45" s="745">
        <f>OtherDirectCosts!X78</f>
        <v>0</v>
      </c>
      <c r="E45" t="s">
        <v>667</v>
      </c>
    </row>
    <row r="46" spans="1:5" x14ac:dyDescent="0.25">
      <c r="B46" s="457">
        <f>IF(B45&gt;=25000,25000,B45)</f>
        <v>0</v>
      </c>
      <c r="C46" s="457">
        <f>IF(C45&lt;=C48, C45,C48)</f>
        <v>0</v>
      </c>
      <c r="D46" s="457">
        <f>IF(D45&lt;=D48, D45,D48)</f>
        <v>0</v>
      </c>
      <c r="E46" t="s">
        <v>208</v>
      </c>
    </row>
    <row r="47" spans="1:5" x14ac:dyDescent="0.25">
      <c r="B47" s="745">
        <f>B45-B46</f>
        <v>0</v>
      </c>
      <c r="C47" s="745">
        <f>C45-C46</f>
        <v>0</v>
      </c>
      <c r="D47" s="745">
        <f>D45-D46</f>
        <v>0</v>
      </c>
      <c r="E47" t="s">
        <v>668</v>
      </c>
    </row>
    <row r="48" spans="1:5" x14ac:dyDescent="0.25">
      <c r="C48" s="457">
        <f>IF(B46&gt;=25000,0,25000-B46)</f>
        <v>25000</v>
      </c>
      <c r="D48" s="457">
        <f>IF((B46+C46)&gt;=25000,0,25000-(B46+C46))</f>
        <v>25000</v>
      </c>
    </row>
  </sheetData>
  <sheetProtection algorithmName="SHA-512" hashValue="9Jay1LTe+us3AD0NIdiu9e1aw19dTPTx48LQmpoC9iU2l599mOGp6KSYre2uK7Vz74UYIs2Zfykydf9i1Hm9RA==" saltValue="2pJWt3eZOs0SqlJMskNnZ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9" tint="0.39997558519241921"/>
  </sheetPr>
  <dimension ref="A1:V26"/>
  <sheetViews>
    <sheetView zoomScale="80" zoomScaleNormal="80" workbookViewId="0">
      <selection activeCell="F3" sqref="F3"/>
    </sheetView>
  </sheetViews>
  <sheetFormatPr defaultRowHeight="15" x14ac:dyDescent="0.25"/>
  <cols>
    <col min="1" max="1" width="26.42578125" customWidth="1"/>
    <col min="2" max="2" width="20" customWidth="1"/>
    <col min="3" max="3" width="19.7109375" customWidth="1"/>
    <col min="6" max="6" width="101.28515625" customWidth="1"/>
  </cols>
  <sheetData>
    <row r="1" spans="1:22" ht="19.5" x14ac:dyDescent="0.3">
      <c r="A1" s="432" t="s">
        <v>481</v>
      </c>
    </row>
    <row r="2" spans="1:22" ht="8.25" customHeight="1" x14ac:dyDescent="0.25"/>
    <row r="3" spans="1:22" ht="93" customHeight="1" x14ac:dyDescent="0.25">
      <c r="A3" s="1267" t="s">
        <v>513</v>
      </c>
      <c r="B3" s="1267"/>
      <c r="C3" s="1267"/>
      <c r="D3" s="467"/>
      <c r="E3" s="467"/>
      <c r="F3" s="467"/>
      <c r="G3" s="416"/>
    </row>
    <row r="4" spans="1:22" ht="7.5" customHeight="1" x14ac:dyDescent="0.25"/>
    <row r="5" spans="1:22" ht="33" customHeight="1" thickBot="1" x14ac:dyDescent="0.3">
      <c r="A5" s="433" t="s">
        <v>482</v>
      </c>
      <c r="B5" s="434" t="s">
        <v>511</v>
      </c>
      <c r="C5" s="434" t="s">
        <v>512</v>
      </c>
      <c r="F5" s="886" t="s">
        <v>661</v>
      </c>
      <c r="G5" s="885"/>
      <c r="H5" s="885"/>
      <c r="I5" s="885"/>
      <c r="J5" s="885"/>
      <c r="K5" s="885"/>
      <c r="L5" s="885"/>
      <c r="M5" s="885"/>
      <c r="N5" s="885"/>
      <c r="O5" s="885"/>
      <c r="P5" s="885"/>
      <c r="Q5" s="885"/>
      <c r="R5" s="885"/>
      <c r="S5" s="885"/>
      <c r="T5" s="885"/>
      <c r="U5" s="885"/>
      <c r="V5" s="885"/>
    </row>
    <row r="6" spans="1:22" x14ac:dyDescent="0.25">
      <c r="A6" s="31" t="s">
        <v>145</v>
      </c>
      <c r="B6" s="31" t="s">
        <v>483</v>
      </c>
      <c r="C6" s="415">
        <v>3</v>
      </c>
      <c r="F6" s="887"/>
      <c r="G6" s="885"/>
      <c r="H6" s="885"/>
      <c r="I6" s="885"/>
      <c r="J6" s="885"/>
      <c r="K6" s="885"/>
      <c r="L6" s="885"/>
      <c r="M6" s="885"/>
      <c r="N6" s="885"/>
      <c r="O6" s="885"/>
      <c r="P6" s="885"/>
      <c r="Q6" s="885"/>
      <c r="R6" s="885"/>
      <c r="S6" s="885"/>
      <c r="T6" s="885"/>
      <c r="U6" s="885"/>
      <c r="V6" s="885"/>
    </row>
    <row r="7" spans="1:22" ht="30" x14ac:dyDescent="0.25">
      <c r="A7" t="s">
        <v>144</v>
      </c>
      <c r="B7" t="s">
        <v>484</v>
      </c>
      <c r="C7" s="414">
        <f>60/23</f>
        <v>2.6086956521739131</v>
      </c>
      <c r="F7" s="888" t="s">
        <v>662</v>
      </c>
      <c r="G7" s="885"/>
      <c r="H7" s="885"/>
      <c r="I7" s="885"/>
      <c r="J7" s="885"/>
      <c r="K7" s="885"/>
      <c r="L7" s="885"/>
      <c r="M7" s="885"/>
      <c r="N7" s="885"/>
      <c r="O7" s="885"/>
      <c r="P7" s="885"/>
      <c r="Q7" s="885"/>
      <c r="R7" s="885"/>
      <c r="S7" s="885"/>
      <c r="T7" s="885"/>
      <c r="U7" s="885"/>
      <c r="V7" s="885"/>
    </row>
    <row r="8" spans="1:22" x14ac:dyDescent="0.25">
      <c r="A8" t="s">
        <v>507</v>
      </c>
      <c r="B8" s="31" t="s">
        <v>508</v>
      </c>
      <c r="C8" s="414">
        <f>57.5/23</f>
        <v>2.5</v>
      </c>
      <c r="F8" s="887"/>
      <c r="G8" s="885"/>
      <c r="H8" s="885"/>
      <c r="I8" s="885"/>
      <c r="J8" s="885"/>
      <c r="K8" s="885"/>
      <c r="L8" s="885"/>
      <c r="M8" s="885"/>
      <c r="N8" s="885"/>
      <c r="O8" s="885"/>
      <c r="P8" s="885"/>
      <c r="Q8" s="885"/>
      <c r="R8" s="885"/>
      <c r="S8" s="885"/>
      <c r="T8" s="885"/>
      <c r="U8" s="885"/>
      <c r="V8" s="885"/>
    </row>
    <row r="9" spans="1:22" ht="30" x14ac:dyDescent="0.25">
      <c r="A9" t="s">
        <v>143</v>
      </c>
      <c r="B9" t="s">
        <v>485</v>
      </c>
      <c r="C9" s="414">
        <f>55/23</f>
        <v>2.3913043478260869</v>
      </c>
      <c r="F9" s="889" t="s">
        <v>663</v>
      </c>
      <c r="G9" s="885"/>
      <c r="H9" s="885"/>
      <c r="I9" s="885"/>
      <c r="J9" s="885"/>
      <c r="K9" s="885"/>
      <c r="L9" s="885"/>
      <c r="M9" s="885"/>
      <c r="N9" s="885"/>
      <c r="O9" s="885"/>
      <c r="P9" s="885"/>
      <c r="Q9" s="885"/>
      <c r="R9" s="885"/>
      <c r="S9" s="885"/>
      <c r="T9" s="885"/>
      <c r="U9" s="885"/>
      <c r="V9" s="885"/>
    </row>
    <row r="10" spans="1:22" x14ac:dyDescent="0.25">
      <c r="A10" t="s">
        <v>142</v>
      </c>
      <c r="B10" t="s">
        <v>486</v>
      </c>
      <c r="C10" s="414">
        <f>50/23</f>
        <v>2.1739130434782608</v>
      </c>
    </row>
    <row r="11" spans="1:22" ht="15" customHeight="1" x14ac:dyDescent="0.25">
      <c r="A11" t="s">
        <v>487</v>
      </c>
      <c r="B11" t="s">
        <v>488</v>
      </c>
      <c r="C11" s="414">
        <v>2</v>
      </c>
      <c r="F11" s="1059" t="s">
        <v>731</v>
      </c>
    </row>
    <row r="12" spans="1:22" x14ac:dyDescent="0.25">
      <c r="A12" t="s">
        <v>141</v>
      </c>
      <c r="B12" t="s">
        <v>489</v>
      </c>
      <c r="C12" s="414">
        <f>45/23</f>
        <v>1.9565217391304348</v>
      </c>
      <c r="F12" s="1060"/>
    </row>
    <row r="13" spans="1:22" x14ac:dyDescent="0.25">
      <c r="A13" t="s">
        <v>140</v>
      </c>
      <c r="B13" t="s">
        <v>490</v>
      </c>
      <c r="C13" s="414">
        <f>40/23</f>
        <v>1.7391304347826086</v>
      </c>
      <c r="F13" s="1060"/>
    </row>
    <row r="14" spans="1:22" x14ac:dyDescent="0.25">
      <c r="A14" t="s">
        <v>139</v>
      </c>
      <c r="B14" t="s">
        <v>491</v>
      </c>
      <c r="C14" s="414">
        <f>35/23</f>
        <v>1.5217391304347827</v>
      </c>
      <c r="F14" s="1061"/>
    </row>
    <row r="15" spans="1:22" x14ac:dyDescent="0.25">
      <c r="A15" t="s">
        <v>492</v>
      </c>
      <c r="B15" t="s">
        <v>493</v>
      </c>
      <c r="C15" s="414">
        <f>34.5/23</f>
        <v>1.5</v>
      </c>
    </row>
    <row r="16" spans="1:22" x14ac:dyDescent="0.25">
      <c r="A16" t="s">
        <v>138</v>
      </c>
      <c r="B16" t="s">
        <v>494</v>
      </c>
      <c r="C16" s="414">
        <f>30/23</f>
        <v>1.3043478260869565</v>
      </c>
    </row>
    <row r="17" spans="1:3" x14ac:dyDescent="0.25">
      <c r="A17" t="s">
        <v>137</v>
      </c>
      <c r="B17" t="s">
        <v>495</v>
      </c>
      <c r="C17" s="414">
        <f>25/23</f>
        <v>1.0869565217391304</v>
      </c>
    </row>
    <row r="18" spans="1:3" x14ac:dyDescent="0.25">
      <c r="A18" t="s">
        <v>496</v>
      </c>
      <c r="B18" t="s">
        <v>497</v>
      </c>
      <c r="C18" s="414">
        <v>1</v>
      </c>
    </row>
    <row r="19" spans="1:3" x14ac:dyDescent="0.25">
      <c r="A19" t="s">
        <v>123</v>
      </c>
      <c r="B19" t="s">
        <v>498</v>
      </c>
      <c r="C19" s="414">
        <f>20/23</f>
        <v>0.86956521739130432</v>
      </c>
    </row>
    <row r="20" spans="1:3" x14ac:dyDescent="0.25">
      <c r="A20" t="s">
        <v>509</v>
      </c>
      <c r="B20" t="s">
        <v>510</v>
      </c>
      <c r="C20" s="414">
        <f>17.25/23</f>
        <v>0.75</v>
      </c>
    </row>
    <row r="21" spans="1:3" x14ac:dyDescent="0.25">
      <c r="A21" t="s">
        <v>118</v>
      </c>
      <c r="B21" t="s">
        <v>499</v>
      </c>
      <c r="C21" s="414">
        <f>15/23</f>
        <v>0.65217391304347827</v>
      </c>
    </row>
    <row r="22" spans="1:3" x14ac:dyDescent="0.25">
      <c r="A22" t="s">
        <v>500</v>
      </c>
      <c r="B22" t="s">
        <v>501</v>
      </c>
      <c r="C22" s="414">
        <f>11.5/23</f>
        <v>0.5</v>
      </c>
    </row>
    <row r="23" spans="1:3" x14ac:dyDescent="0.25">
      <c r="A23" t="s">
        <v>122</v>
      </c>
      <c r="B23" t="s">
        <v>502</v>
      </c>
      <c r="C23" s="414">
        <f>10/23</f>
        <v>0.43478260869565216</v>
      </c>
    </row>
    <row r="24" spans="1:3" x14ac:dyDescent="0.25">
      <c r="A24" t="s">
        <v>503</v>
      </c>
      <c r="B24" t="s">
        <v>504</v>
      </c>
      <c r="C24" s="414">
        <f>5.75/23</f>
        <v>0.25</v>
      </c>
    </row>
    <row r="25" spans="1:3" x14ac:dyDescent="0.25">
      <c r="A25" t="s">
        <v>121</v>
      </c>
      <c r="B25" t="s">
        <v>505</v>
      </c>
      <c r="C25" s="414">
        <f>5/23</f>
        <v>0.21739130434782608</v>
      </c>
    </row>
    <row r="26" spans="1:3" x14ac:dyDescent="0.25">
      <c r="A26" t="s">
        <v>120</v>
      </c>
      <c r="B26" t="s">
        <v>506</v>
      </c>
      <c r="C26" s="414">
        <f>1/23</f>
        <v>4.3478260869565216E-2</v>
      </c>
    </row>
  </sheetData>
  <sheetProtection algorithmName="SHA-512" hashValue="qIRtsoEmh7PL/GWUWtl2WpzDdiFMxT9B4k5UXw5iZrppK9JhRvQnjpc9wiJysjNjQZ0M4YLieiOA7WGxMpgSiA==" saltValue="eIVHnzglhnjXlDHADZ3sqg==" spinCount="100000" sheet="1" objects="1" scenarios="1"/>
  <mergeCells count="2">
    <mergeCell ref="A3:C3"/>
    <mergeCell ref="F11:F14"/>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theme="9" tint="0.39997558519241921"/>
  </sheetPr>
  <dimension ref="A1:N132"/>
  <sheetViews>
    <sheetView zoomScale="80" zoomScaleNormal="80" workbookViewId="0">
      <pane ySplit="8" topLeftCell="A9" activePane="bottomLeft" state="frozen"/>
      <selection pane="bottomLeft" activeCell="E1" sqref="E1:L1"/>
    </sheetView>
  </sheetViews>
  <sheetFormatPr defaultRowHeight="15" x14ac:dyDescent="0.25"/>
  <cols>
    <col min="1" max="1" width="28.140625" style="323" customWidth="1"/>
    <col min="2" max="2" width="45.140625" style="323" bestFit="1" customWidth="1"/>
    <col min="3" max="3" width="10" style="323" customWidth="1"/>
    <col min="4" max="5" width="14.42578125" style="324" customWidth="1"/>
    <col min="6" max="6" width="15.140625" style="324" customWidth="1"/>
    <col min="7" max="7" width="1.7109375" style="366" customWidth="1"/>
    <col min="8" max="8" width="10" style="323" customWidth="1"/>
    <col min="9" max="11" width="14.42578125" style="324" customWidth="1"/>
    <col min="12" max="12" width="92.140625" style="323" bestFit="1" customWidth="1"/>
    <col min="13" max="16384" width="9.140625" style="323"/>
  </cols>
  <sheetData>
    <row r="1" spans="1:14" ht="19.5" x14ac:dyDescent="0.3">
      <c r="A1" s="335" t="s">
        <v>331</v>
      </c>
      <c r="B1" s="333"/>
      <c r="C1" s="333"/>
      <c r="D1" s="334"/>
      <c r="E1" s="1272" t="s">
        <v>514</v>
      </c>
      <c r="F1" s="1273"/>
      <c r="G1" s="1273"/>
      <c r="H1" s="1273"/>
      <c r="I1" s="1273"/>
      <c r="J1" s="1273"/>
      <c r="K1" s="1273"/>
      <c r="L1" s="1274"/>
    </row>
    <row r="2" spans="1:14" ht="20.25" thickBot="1" x14ac:dyDescent="0.35">
      <c r="A2" s="335"/>
      <c r="B2" s="333"/>
      <c r="C2" s="333"/>
      <c r="D2" s="334"/>
      <c r="E2" s="1275" t="s">
        <v>528</v>
      </c>
      <c r="F2" s="1276"/>
      <c r="G2" s="1276"/>
      <c r="H2" s="1276"/>
      <c r="I2" s="1276"/>
      <c r="J2" s="1276"/>
      <c r="K2" s="1276"/>
      <c r="L2" s="1277"/>
    </row>
    <row r="3" spans="1:14" x14ac:dyDescent="0.25">
      <c r="A3" s="336" t="s">
        <v>332</v>
      </c>
      <c r="B3" s="333"/>
      <c r="C3" s="333"/>
      <c r="D3" s="334"/>
      <c r="E3" s="334"/>
      <c r="F3" s="334"/>
      <c r="G3" s="364"/>
      <c r="H3" s="333"/>
      <c r="I3" s="334"/>
      <c r="J3" s="334"/>
      <c r="K3" s="334"/>
      <c r="L3" s="333"/>
    </row>
    <row r="4" spans="1:14" ht="6.75" customHeight="1" x14ac:dyDescent="0.25">
      <c r="A4" s="336"/>
      <c r="B4" s="333"/>
      <c r="C4" s="333"/>
      <c r="D4" s="334"/>
      <c r="E4" s="334"/>
      <c r="F4" s="334"/>
      <c r="G4" s="364"/>
      <c r="H4" s="333"/>
      <c r="I4" s="334"/>
      <c r="J4" s="334"/>
      <c r="K4" s="334"/>
      <c r="L4" s="333"/>
    </row>
    <row r="5" spans="1:14" x14ac:dyDescent="0.25">
      <c r="A5" s="337"/>
      <c r="B5" s="337"/>
      <c r="C5" s="337"/>
      <c r="D5" s="338"/>
      <c r="E5" s="338"/>
      <c r="F5" s="338"/>
      <c r="G5" s="337"/>
      <c r="H5" s="337"/>
      <c r="I5" s="338"/>
      <c r="J5" s="338"/>
      <c r="K5" s="338"/>
      <c r="L5" s="337"/>
    </row>
    <row r="6" spans="1:14" s="325" customFormat="1" ht="12.75" x14ac:dyDescent="0.2">
      <c r="A6" s="327"/>
      <c r="B6" s="327"/>
      <c r="C6" s="1268" t="s">
        <v>692</v>
      </c>
      <c r="D6" s="1268"/>
      <c r="E6" s="1268"/>
      <c r="F6" s="360"/>
      <c r="G6" s="339"/>
      <c r="H6" s="1269" t="s">
        <v>693</v>
      </c>
      <c r="I6" s="1269"/>
      <c r="J6" s="1269"/>
      <c r="K6" s="361"/>
      <c r="L6" s="327"/>
      <c r="N6" s="326"/>
    </row>
    <row r="7" spans="1:14" s="325" customFormat="1" ht="12.75" x14ac:dyDescent="0.2">
      <c r="A7" s="327"/>
      <c r="B7" s="327"/>
      <c r="C7" s="340" t="s">
        <v>250</v>
      </c>
      <c r="D7" s="1270" t="s">
        <v>563</v>
      </c>
      <c r="E7" s="1270"/>
      <c r="F7" s="360"/>
      <c r="G7" s="339"/>
      <c r="H7" s="341" t="s">
        <v>250</v>
      </c>
      <c r="I7" s="1271" t="s">
        <v>251</v>
      </c>
      <c r="J7" s="1271"/>
      <c r="K7" s="361"/>
      <c r="L7" s="327"/>
    </row>
    <row r="8" spans="1:14" s="325" customFormat="1" ht="12.75" x14ac:dyDescent="0.2">
      <c r="A8" s="322" t="s">
        <v>252</v>
      </c>
      <c r="B8" s="322" t="s">
        <v>730</v>
      </c>
      <c r="C8" s="342" t="s">
        <v>330</v>
      </c>
      <c r="D8" s="343" t="s">
        <v>253</v>
      </c>
      <c r="E8" s="343" t="s">
        <v>254</v>
      </c>
      <c r="F8" s="343" t="s">
        <v>353</v>
      </c>
      <c r="G8" s="342"/>
      <c r="H8" s="342" t="s">
        <v>330</v>
      </c>
      <c r="I8" s="343" t="s">
        <v>253</v>
      </c>
      <c r="J8" s="343" t="s">
        <v>254</v>
      </c>
      <c r="K8" s="343" t="s">
        <v>354</v>
      </c>
      <c r="L8" s="344" t="s">
        <v>255</v>
      </c>
    </row>
    <row r="9" spans="1:14" s="325" customFormat="1" ht="12.75" x14ac:dyDescent="0.2">
      <c r="A9" s="327" t="s">
        <v>256</v>
      </c>
      <c r="B9" s="327" t="s">
        <v>739</v>
      </c>
      <c r="C9" s="328" t="s">
        <v>257</v>
      </c>
      <c r="D9" s="329" t="s">
        <v>258</v>
      </c>
      <c r="E9" s="329" t="s">
        <v>258</v>
      </c>
      <c r="F9" s="329">
        <v>2250</v>
      </c>
      <c r="G9" s="367"/>
      <c r="H9" s="330" t="s">
        <v>257</v>
      </c>
      <c r="I9" s="331">
        <v>47500</v>
      </c>
      <c r="J9" s="331" t="s">
        <v>258</v>
      </c>
      <c r="K9" s="331">
        <v>60000</v>
      </c>
      <c r="L9" s="327" t="s">
        <v>334</v>
      </c>
    </row>
    <row r="10" spans="1:14" s="325" customFormat="1" ht="12.75" x14ac:dyDescent="0.2">
      <c r="A10" s="327" t="s">
        <v>256</v>
      </c>
      <c r="B10" s="327" t="s">
        <v>742</v>
      </c>
      <c r="C10" s="328" t="s">
        <v>257</v>
      </c>
      <c r="D10" s="329" t="s">
        <v>258</v>
      </c>
      <c r="E10" s="329" t="s">
        <v>258</v>
      </c>
      <c r="F10" s="329">
        <v>2250</v>
      </c>
      <c r="G10" s="363"/>
      <c r="H10" s="330" t="s">
        <v>257</v>
      </c>
      <c r="I10" s="331">
        <v>47500</v>
      </c>
      <c r="J10" s="331" t="s">
        <v>258</v>
      </c>
      <c r="K10" s="331" t="s">
        <v>258</v>
      </c>
      <c r="L10" s="327" t="s">
        <v>334</v>
      </c>
    </row>
    <row r="11" spans="1:14" s="325" customFormat="1" ht="12.75" x14ac:dyDescent="0.2">
      <c r="A11" s="327" t="s">
        <v>256</v>
      </c>
      <c r="B11" s="327" t="s">
        <v>259</v>
      </c>
      <c r="C11" s="328" t="s">
        <v>257</v>
      </c>
      <c r="D11" s="329" t="s">
        <v>258</v>
      </c>
      <c r="E11" s="329" t="s">
        <v>258</v>
      </c>
      <c r="F11" s="329">
        <v>2916.67</v>
      </c>
      <c r="G11" s="363"/>
      <c r="H11" s="330" t="s">
        <v>257</v>
      </c>
      <c r="I11" s="331">
        <v>47500</v>
      </c>
      <c r="J11" s="331" t="s">
        <v>258</v>
      </c>
      <c r="K11" s="331">
        <v>55000</v>
      </c>
      <c r="L11" s="327" t="s">
        <v>334</v>
      </c>
    </row>
    <row r="12" spans="1:14" s="325" customFormat="1" ht="12.75" x14ac:dyDescent="0.2">
      <c r="A12" s="327" t="s">
        <v>256</v>
      </c>
      <c r="B12" s="327" t="s">
        <v>356</v>
      </c>
      <c r="C12" s="328" t="s">
        <v>257</v>
      </c>
      <c r="D12" s="329" t="s">
        <v>258</v>
      </c>
      <c r="E12" s="329" t="s">
        <v>258</v>
      </c>
      <c r="F12" s="329">
        <v>2016.67</v>
      </c>
      <c r="G12" s="363"/>
      <c r="H12" s="330" t="s">
        <v>257</v>
      </c>
      <c r="I12" s="331">
        <v>47500</v>
      </c>
      <c r="J12" s="331" t="s">
        <v>258</v>
      </c>
      <c r="K12" s="331" t="s">
        <v>258</v>
      </c>
      <c r="L12" s="327" t="s">
        <v>334</v>
      </c>
    </row>
    <row r="13" spans="1:14" s="325" customFormat="1" ht="12.75" x14ac:dyDescent="0.2">
      <c r="A13" s="327" t="s">
        <v>256</v>
      </c>
      <c r="B13" s="327" t="s">
        <v>357</v>
      </c>
      <c r="C13" s="328" t="s">
        <v>257</v>
      </c>
      <c r="D13" s="329" t="s">
        <v>258</v>
      </c>
      <c r="E13" s="329" t="s">
        <v>258</v>
      </c>
      <c r="F13" s="329">
        <v>2175</v>
      </c>
      <c r="G13" s="363"/>
      <c r="H13" s="330" t="s">
        <v>257</v>
      </c>
      <c r="I13" s="331">
        <v>47500</v>
      </c>
      <c r="J13" s="331" t="s">
        <v>258</v>
      </c>
      <c r="K13" s="331" t="s">
        <v>258</v>
      </c>
      <c r="L13" s="327" t="s">
        <v>334</v>
      </c>
    </row>
    <row r="14" spans="1:14" s="325" customFormat="1" ht="12.75" x14ac:dyDescent="0.2">
      <c r="A14" s="327" t="s">
        <v>256</v>
      </c>
      <c r="B14" s="327" t="s">
        <v>260</v>
      </c>
      <c r="C14" s="328" t="s">
        <v>257</v>
      </c>
      <c r="D14" s="329">
        <v>2500</v>
      </c>
      <c r="E14" s="329" t="s">
        <v>258</v>
      </c>
      <c r="F14" s="329">
        <v>2500</v>
      </c>
      <c r="G14" s="363"/>
      <c r="H14" s="330" t="s">
        <v>257</v>
      </c>
      <c r="I14" s="331">
        <v>36000</v>
      </c>
      <c r="J14" s="331" t="s">
        <v>258</v>
      </c>
      <c r="K14" s="331">
        <v>50000</v>
      </c>
      <c r="L14" s="327" t="s">
        <v>691</v>
      </c>
    </row>
    <row r="15" spans="1:14" s="325" customFormat="1" ht="12.75" x14ac:dyDescent="0.2">
      <c r="A15" s="327" t="s">
        <v>256</v>
      </c>
      <c r="B15" s="327" t="s">
        <v>261</v>
      </c>
      <c r="C15" s="328" t="s">
        <v>257</v>
      </c>
      <c r="D15" s="329" t="s">
        <v>258</v>
      </c>
      <c r="E15" s="329" t="s">
        <v>258</v>
      </c>
      <c r="F15" s="329">
        <v>2200</v>
      </c>
      <c r="G15" s="363"/>
      <c r="H15" s="330" t="s">
        <v>257</v>
      </c>
      <c r="I15" s="331">
        <v>47500</v>
      </c>
      <c r="J15" s="331" t="s">
        <v>258</v>
      </c>
      <c r="K15" s="331" t="s">
        <v>258</v>
      </c>
      <c r="L15" s="327" t="s">
        <v>334</v>
      </c>
    </row>
    <row r="16" spans="1:14" s="325" customFormat="1" ht="12.75" x14ac:dyDescent="0.2">
      <c r="A16" s="327" t="s">
        <v>256</v>
      </c>
      <c r="B16" s="327" t="s">
        <v>733</v>
      </c>
      <c r="C16" s="328" t="s">
        <v>257</v>
      </c>
      <c r="D16" s="329" t="s">
        <v>258</v>
      </c>
      <c r="E16" s="329" t="s">
        <v>258</v>
      </c>
      <c r="F16" s="329">
        <v>2083.33</v>
      </c>
      <c r="G16" s="363"/>
      <c r="H16" s="330" t="s">
        <v>257</v>
      </c>
      <c r="I16" s="331">
        <v>47500</v>
      </c>
      <c r="J16" s="331" t="s">
        <v>258</v>
      </c>
      <c r="K16" s="331" t="s">
        <v>258</v>
      </c>
      <c r="L16" s="327" t="s">
        <v>691</v>
      </c>
    </row>
    <row r="17" spans="1:12" s="325" customFormat="1" ht="12.75" x14ac:dyDescent="0.2">
      <c r="A17" s="327" t="s">
        <v>256</v>
      </c>
      <c r="B17" s="327" t="s">
        <v>734</v>
      </c>
      <c r="C17" s="328" t="s">
        <v>257</v>
      </c>
      <c r="D17" s="329" t="s">
        <v>258</v>
      </c>
      <c r="E17" s="329" t="s">
        <v>258</v>
      </c>
      <c r="F17" s="329">
        <v>2250</v>
      </c>
      <c r="G17" s="363"/>
      <c r="H17" s="330" t="s">
        <v>257</v>
      </c>
      <c r="I17" s="331">
        <v>47500</v>
      </c>
      <c r="J17" s="331" t="s">
        <v>258</v>
      </c>
      <c r="K17" s="331" t="s">
        <v>258</v>
      </c>
      <c r="L17" s="327" t="s">
        <v>691</v>
      </c>
    </row>
    <row r="18" spans="1:12" s="325" customFormat="1" ht="12.75" x14ac:dyDescent="0.2">
      <c r="A18" s="327" t="s">
        <v>256</v>
      </c>
      <c r="B18" s="327" t="s">
        <v>359</v>
      </c>
      <c r="C18" s="328" t="s">
        <v>257</v>
      </c>
      <c r="D18" s="329" t="s">
        <v>258</v>
      </c>
      <c r="E18" s="329" t="s">
        <v>258</v>
      </c>
      <c r="F18" s="329">
        <v>2333.33</v>
      </c>
      <c r="G18" s="363"/>
      <c r="H18" s="330" t="s">
        <v>257</v>
      </c>
      <c r="I18" s="331">
        <v>47500</v>
      </c>
      <c r="J18" s="331" t="s">
        <v>258</v>
      </c>
      <c r="K18" s="331">
        <v>60000</v>
      </c>
      <c r="L18" s="327" t="s">
        <v>691</v>
      </c>
    </row>
    <row r="19" spans="1:12" s="325" customFormat="1" ht="12.75" x14ac:dyDescent="0.2">
      <c r="A19" s="327" t="s">
        <v>256</v>
      </c>
      <c r="B19" s="327" t="s">
        <v>358</v>
      </c>
      <c r="C19" s="328" t="s">
        <v>257</v>
      </c>
      <c r="D19" s="329" t="s">
        <v>258</v>
      </c>
      <c r="E19" s="329" t="s">
        <v>258</v>
      </c>
      <c r="F19" s="329">
        <v>2625</v>
      </c>
      <c r="G19" s="363"/>
      <c r="H19" s="330" t="s">
        <v>257</v>
      </c>
      <c r="I19" s="331">
        <v>47500</v>
      </c>
      <c r="J19" s="331" t="s">
        <v>258</v>
      </c>
      <c r="K19" s="331">
        <v>60000</v>
      </c>
      <c r="L19" s="327" t="s">
        <v>691</v>
      </c>
    </row>
    <row r="20" spans="1:12" s="325" customFormat="1" ht="12.75" x14ac:dyDescent="0.2">
      <c r="A20" s="327" t="s">
        <v>256</v>
      </c>
      <c r="B20" s="327" t="s">
        <v>262</v>
      </c>
      <c r="C20" s="328" t="s">
        <v>257</v>
      </c>
      <c r="D20" s="329" t="s">
        <v>258</v>
      </c>
      <c r="E20" s="329" t="s">
        <v>258</v>
      </c>
      <c r="F20" s="329">
        <v>2336</v>
      </c>
      <c r="G20" s="363"/>
      <c r="H20" s="330" t="s">
        <v>257</v>
      </c>
      <c r="I20" s="331">
        <v>47500</v>
      </c>
      <c r="J20" s="331" t="s">
        <v>258</v>
      </c>
      <c r="K20" s="331" t="s">
        <v>258</v>
      </c>
      <c r="L20" s="327" t="s">
        <v>694</v>
      </c>
    </row>
    <row r="21" spans="1:12" s="325" customFormat="1" ht="12.75" x14ac:dyDescent="0.2">
      <c r="A21" s="327" t="s">
        <v>256</v>
      </c>
      <c r="B21" s="327" t="s">
        <v>263</v>
      </c>
      <c r="C21" s="328" t="s">
        <v>257</v>
      </c>
      <c r="D21" s="329" t="s">
        <v>258</v>
      </c>
      <c r="E21" s="329" t="s">
        <v>258</v>
      </c>
      <c r="F21" s="329">
        <v>2150</v>
      </c>
      <c r="G21" s="363"/>
      <c r="H21" s="330" t="s">
        <v>257</v>
      </c>
      <c r="I21" s="331">
        <v>47500</v>
      </c>
      <c r="J21" s="331" t="s">
        <v>258</v>
      </c>
      <c r="K21" s="331" t="s">
        <v>258</v>
      </c>
      <c r="L21" s="327" t="s">
        <v>691</v>
      </c>
    </row>
    <row r="22" spans="1:12" s="325" customFormat="1" ht="12.75" x14ac:dyDescent="0.2">
      <c r="A22" s="327" t="s">
        <v>256</v>
      </c>
      <c r="B22" s="327" t="s">
        <v>360</v>
      </c>
      <c r="C22" s="328" t="s">
        <v>257</v>
      </c>
      <c r="D22" s="329" t="s">
        <v>258</v>
      </c>
      <c r="E22" s="329" t="s">
        <v>258</v>
      </c>
      <c r="F22" s="329">
        <v>2016.67</v>
      </c>
      <c r="G22" s="363"/>
      <c r="H22" s="330" t="s">
        <v>257</v>
      </c>
      <c r="I22" s="331">
        <v>47500</v>
      </c>
      <c r="J22" s="331" t="s">
        <v>258</v>
      </c>
      <c r="K22" s="331" t="s">
        <v>258</v>
      </c>
      <c r="L22" s="327" t="s">
        <v>334</v>
      </c>
    </row>
    <row r="23" spans="1:12" s="325" customFormat="1" ht="12.75" x14ac:dyDescent="0.2">
      <c r="A23" s="327" t="s">
        <v>256</v>
      </c>
      <c r="B23" s="327" t="s">
        <v>361</v>
      </c>
      <c r="C23" s="328" t="s">
        <v>257</v>
      </c>
      <c r="D23" s="329" t="s">
        <v>258</v>
      </c>
      <c r="E23" s="329" t="s">
        <v>258</v>
      </c>
      <c r="F23" s="329">
        <v>2175</v>
      </c>
      <c r="G23" s="363"/>
      <c r="H23" s="330" t="s">
        <v>257</v>
      </c>
      <c r="I23" s="331">
        <v>47500</v>
      </c>
      <c r="J23" s="331" t="s">
        <v>258</v>
      </c>
      <c r="K23" s="331" t="s">
        <v>258</v>
      </c>
      <c r="L23" s="327" t="s">
        <v>334</v>
      </c>
    </row>
    <row r="24" spans="1:12" s="325" customFormat="1" ht="12.75" x14ac:dyDescent="0.2">
      <c r="A24" s="327" t="s">
        <v>256</v>
      </c>
      <c r="B24" s="327" t="s">
        <v>264</v>
      </c>
      <c r="C24" s="328" t="s">
        <v>257</v>
      </c>
      <c r="D24" s="329" t="s">
        <v>258</v>
      </c>
      <c r="E24" s="329" t="s">
        <v>258</v>
      </c>
      <c r="F24" s="329">
        <v>2333.33</v>
      </c>
      <c r="G24" s="363"/>
      <c r="H24" s="330" t="s">
        <v>257</v>
      </c>
      <c r="I24" s="331">
        <v>47500</v>
      </c>
      <c r="J24" s="331" t="s">
        <v>258</v>
      </c>
      <c r="K24" s="331" t="s">
        <v>258</v>
      </c>
      <c r="L24" s="327" t="s">
        <v>334</v>
      </c>
    </row>
    <row r="25" spans="1:12" s="325" customFormat="1" ht="12.75" x14ac:dyDescent="0.2">
      <c r="A25" s="327" t="s">
        <v>256</v>
      </c>
      <c r="B25" s="327" t="s">
        <v>265</v>
      </c>
      <c r="C25" s="328" t="s">
        <v>257</v>
      </c>
      <c r="D25" s="329" t="s">
        <v>258</v>
      </c>
      <c r="E25" s="329" t="s">
        <v>258</v>
      </c>
      <c r="F25" s="329">
        <v>2333.33</v>
      </c>
      <c r="G25" s="363"/>
      <c r="H25" s="330" t="s">
        <v>257</v>
      </c>
      <c r="I25" s="331">
        <v>47500</v>
      </c>
      <c r="J25" s="331" t="s">
        <v>258</v>
      </c>
      <c r="K25" s="331" t="s">
        <v>258</v>
      </c>
      <c r="L25" s="327" t="s">
        <v>691</v>
      </c>
    </row>
    <row r="26" spans="1:12" s="325" customFormat="1" ht="12.75" x14ac:dyDescent="0.2">
      <c r="A26" s="327" t="s">
        <v>256</v>
      </c>
      <c r="B26" s="327" t="s">
        <v>743</v>
      </c>
      <c r="C26" s="328" t="s">
        <v>257</v>
      </c>
      <c r="D26" s="329" t="s">
        <v>258</v>
      </c>
      <c r="E26" s="329" t="s">
        <v>258</v>
      </c>
      <c r="F26" s="329">
        <v>2250</v>
      </c>
      <c r="G26" s="363"/>
      <c r="H26" s="330" t="s">
        <v>257</v>
      </c>
      <c r="I26" s="331">
        <v>47500</v>
      </c>
      <c r="J26" s="331" t="s">
        <v>258</v>
      </c>
      <c r="K26" s="331" t="s">
        <v>258</v>
      </c>
      <c r="L26" s="327" t="s">
        <v>334</v>
      </c>
    </row>
    <row r="27" spans="1:12" s="325" customFormat="1" ht="12.75" x14ac:dyDescent="0.2">
      <c r="A27" s="327" t="s">
        <v>256</v>
      </c>
      <c r="B27" s="327" t="s">
        <v>745</v>
      </c>
      <c r="C27" s="328" t="s">
        <v>257</v>
      </c>
      <c r="D27" s="329" t="s">
        <v>258</v>
      </c>
      <c r="E27" s="329" t="s">
        <v>258</v>
      </c>
      <c r="F27" s="329">
        <v>2083.33</v>
      </c>
      <c r="G27" s="363"/>
      <c r="H27" s="330" t="s">
        <v>257</v>
      </c>
      <c r="I27" s="331">
        <v>47500</v>
      </c>
      <c r="J27" s="331" t="s">
        <v>258</v>
      </c>
      <c r="K27" s="331" t="s">
        <v>258</v>
      </c>
      <c r="L27" s="327" t="s">
        <v>334</v>
      </c>
    </row>
    <row r="28" spans="1:12" s="325" customFormat="1" ht="12.75" x14ac:dyDescent="0.2">
      <c r="A28" s="327" t="s">
        <v>256</v>
      </c>
      <c r="B28" s="327" t="s">
        <v>747</v>
      </c>
      <c r="C28" s="328" t="s">
        <v>257</v>
      </c>
      <c r="D28" s="329" t="s">
        <v>258</v>
      </c>
      <c r="E28" s="329" t="s">
        <v>258</v>
      </c>
      <c r="F28" s="329">
        <v>2250</v>
      </c>
      <c r="G28" s="363"/>
      <c r="H28" s="330" t="s">
        <v>257</v>
      </c>
      <c r="I28" s="331">
        <v>47500</v>
      </c>
      <c r="J28" s="331" t="s">
        <v>258</v>
      </c>
      <c r="K28" s="331" t="s">
        <v>258</v>
      </c>
      <c r="L28" s="327" t="s">
        <v>334</v>
      </c>
    </row>
    <row r="29" spans="1:12" s="325" customFormat="1" ht="12.75" x14ac:dyDescent="0.2">
      <c r="A29" s="327" t="s">
        <v>266</v>
      </c>
      <c r="B29" s="327" t="s">
        <v>362</v>
      </c>
      <c r="C29" s="328" t="s">
        <v>257</v>
      </c>
      <c r="D29" s="329">
        <v>2036.66</v>
      </c>
      <c r="E29" s="329" t="s">
        <v>258</v>
      </c>
      <c r="F29" s="329" t="s">
        <v>258</v>
      </c>
      <c r="G29" s="363"/>
      <c r="H29" s="330" t="s">
        <v>257</v>
      </c>
      <c r="I29" s="331">
        <v>47500</v>
      </c>
      <c r="J29" s="331" t="s">
        <v>258</v>
      </c>
      <c r="K29" s="331" t="s">
        <v>258</v>
      </c>
      <c r="L29" s="327" t="s">
        <v>355</v>
      </c>
    </row>
    <row r="30" spans="1:12" s="325" customFormat="1" ht="12.75" x14ac:dyDescent="0.2">
      <c r="A30" s="327" t="s">
        <v>266</v>
      </c>
      <c r="B30" s="327" t="s">
        <v>363</v>
      </c>
      <c r="C30" s="328" t="s">
        <v>257</v>
      </c>
      <c r="D30" s="329">
        <v>2340</v>
      </c>
      <c r="E30" s="329" t="s">
        <v>258</v>
      </c>
      <c r="F30" s="329" t="s">
        <v>258</v>
      </c>
      <c r="G30" s="363"/>
      <c r="H30" s="330" t="s">
        <v>257</v>
      </c>
      <c r="I30" s="331">
        <v>47500</v>
      </c>
      <c r="J30" s="331" t="s">
        <v>258</v>
      </c>
      <c r="K30" s="331" t="s">
        <v>258</v>
      </c>
      <c r="L30" s="327" t="s">
        <v>355</v>
      </c>
    </row>
    <row r="31" spans="1:12" s="325" customFormat="1" ht="12.75" x14ac:dyDescent="0.2">
      <c r="A31" s="327" t="s">
        <v>266</v>
      </c>
      <c r="B31" s="327" t="s">
        <v>364</v>
      </c>
      <c r="C31" s="328" t="s">
        <v>257</v>
      </c>
      <c r="D31" s="329">
        <v>2041.66</v>
      </c>
      <c r="E31" s="329" t="s">
        <v>258</v>
      </c>
      <c r="F31" s="329" t="s">
        <v>258</v>
      </c>
      <c r="G31" s="363"/>
      <c r="H31" s="330" t="s">
        <v>257</v>
      </c>
      <c r="I31" s="331">
        <v>47500</v>
      </c>
      <c r="J31" s="331" t="s">
        <v>258</v>
      </c>
      <c r="K31" s="331" t="s">
        <v>258</v>
      </c>
      <c r="L31" s="327" t="s">
        <v>355</v>
      </c>
    </row>
    <row r="32" spans="1:12" s="325" customFormat="1" ht="12.75" x14ac:dyDescent="0.2">
      <c r="A32" s="327" t="s">
        <v>266</v>
      </c>
      <c r="B32" s="327" t="s">
        <v>365</v>
      </c>
      <c r="C32" s="328" t="s">
        <v>257</v>
      </c>
      <c r="D32" s="329">
        <v>2166.67</v>
      </c>
      <c r="E32" s="329" t="s">
        <v>258</v>
      </c>
      <c r="F32" s="329" t="s">
        <v>258</v>
      </c>
      <c r="G32" s="363"/>
      <c r="H32" s="330" t="s">
        <v>257</v>
      </c>
      <c r="I32" s="331">
        <v>47500</v>
      </c>
      <c r="J32" s="331" t="s">
        <v>258</v>
      </c>
      <c r="K32" s="331" t="s">
        <v>258</v>
      </c>
      <c r="L32" s="327" t="s">
        <v>355</v>
      </c>
    </row>
    <row r="33" spans="1:12" s="325" customFormat="1" ht="12.75" x14ac:dyDescent="0.2">
      <c r="A33" s="327" t="s">
        <v>266</v>
      </c>
      <c r="B33" s="327" t="s">
        <v>366</v>
      </c>
      <c r="C33" s="328" t="s">
        <v>257</v>
      </c>
      <c r="D33" s="329">
        <v>2041.66</v>
      </c>
      <c r="E33" s="329" t="s">
        <v>258</v>
      </c>
      <c r="F33" s="329" t="s">
        <v>258</v>
      </c>
      <c r="G33" s="363"/>
      <c r="H33" s="330" t="s">
        <v>257</v>
      </c>
      <c r="I33" s="331">
        <v>47500</v>
      </c>
      <c r="J33" s="331" t="s">
        <v>258</v>
      </c>
      <c r="K33" s="331" t="s">
        <v>258</v>
      </c>
      <c r="L33" s="327" t="s">
        <v>355</v>
      </c>
    </row>
    <row r="34" spans="1:12" s="325" customFormat="1" ht="12.75" x14ac:dyDescent="0.2">
      <c r="A34" s="327" t="s">
        <v>266</v>
      </c>
      <c r="B34" s="327" t="s">
        <v>367</v>
      </c>
      <c r="C34" s="328" t="s">
        <v>257</v>
      </c>
      <c r="D34" s="329">
        <v>2041.66</v>
      </c>
      <c r="E34" s="329" t="s">
        <v>258</v>
      </c>
      <c r="F34" s="329" t="s">
        <v>258</v>
      </c>
      <c r="G34" s="363"/>
      <c r="H34" s="330" t="s">
        <v>257</v>
      </c>
      <c r="I34" s="331">
        <v>47500</v>
      </c>
      <c r="J34" s="331" t="s">
        <v>258</v>
      </c>
      <c r="K34" s="331" t="s">
        <v>258</v>
      </c>
      <c r="L34" s="327" t="s">
        <v>355</v>
      </c>
    </row>
    <row r="35" spans="1:12" s="325" customFormat="1" ht="12.75" x14ac:dyDescent="0.2">
      <c r="A35" s="327" t="s">
        <v>266</v>
      </c>
      <c r="B35" s="327" t="s">
        <v>368</v>
      </c>
      <c r="C35" s="328" t="s">
        <v>257</v>
      </c>
      <c r="D35" s="329">
        <v>2041.66</v>
      </c>
      <c r="E35" s="329" t="s">
        <v>258</v>
      </c>
      <c r="F35" s="329" t="s">
        <v>258</v>
      </c>
      <c r="G35" s="363"/>
      <c r="H35" s="330" t="s">
        <v>257</v>
      </c>
      <c r="I35" s="331">
        <v>47500</v>
      </c>
      <c r="J35" s="331" t="s">
        <v>258</v>
      </c>
      <c r="K35" s="331" t="s">
        <v>258</v>
      </c>
      <c r="L35" s="327" t="s">
        <v>355</v>
      </c>
    </row>
    <row r="36" spans="1:12" s="325" customFormat="1" ht="12.75" x14ac:dyDescent="0.2">
      <c r="A36" s="327" t="s">
        <v>266</v>
      </c>
      <c r="B36" s="327" t="s">
        <v>369</v>
      </c>
      <c r="C36" s="328" t="s">
        <v>257</v>
      </c>
      <c r="D36" s="329">
        <v>2041.66</v>
      </c>
      <c r="E36" s="329" t="s">
        <v>258</v>
      </c>
      <c r="F36" s="329" t="s">
        <v>258</v>
      </c>
      <c r="G36" s="363"/>
      <c r="H36" s="330" t="s">
        <v>257</v>
      </c>
      <c r="I36" s="331">
        <v>47500</v>
      </c>
      <c r="J36" s="331" t="s">
        <v>258</v>
      </c>
      <c r="K36" s="331" t="s">
        <v>258</v>
      </c>
      <c r="L36" s="327" t="s">
        <v>355</v>
      </c>
    </row>
    <row r="37" spans="1:12" s="325" customFormat="1" ht="12.75" x14ac:dyDescent="0.2">
      <c r="A37" s="327" t="s">
        <v>266</v>
      </c>
      <c r="B37" s="327" t="s">
        <v>267</v>
      </c>
      <c r="C37" s="328" t="s">
        <v>257</v>
      </c>
      <c r="D37" s="329">
        <v>2291.67</v>
      </c>
      <c r="E37" s="329" t="s">
        <v>258</v>
      </c>
      <c r="F37" s="329" t="s">
        <v>258</v>
      </c>
      <c r="G37" s="363"/>
      <c r="H37" s="330" t="s">
        <v>257</v>
      </c>
      <c r="I37" s="331">
        <v>47500</v>
      </c>
      <c r="J37" s="331" t="s">
        <v>258</v>
      </c>
      <c r="K37" s="331" t="s">
        <v>258</v>
      </c>
      <c r="L37" s="327" t="s">
        <v>355</v>
      </c>
    </row>
    <row r="38" spans="1:12" s="325" customFormat="1" ht="12.75" x14ac:dyDescent="0.2">
      <c r="A38" s="327" t="s">
        <v>266</v>
      </c>
      <c r="B38" s="327" t="s">
        <v>370</v>
      </c>
      <c r="C38" s="328" t="s">
        <v>257</v>
      </c>
      <c r="D38" s="329">
        <v>2166.67</v>
      </c>
      <c r="E38" s="329" t="s">
        <v>258</v>
      </c>
      <c r="F38" s="329" t="s">
        <v>258</v>
      </c>
      <c r="G38" s="363"/>
      <c r="H38" s="330" t="s">
        <v>257</v>
      </c>
      <c r="I38" s="331">
        <v>47500</v>
      </c>
      <c r="J38" s="331" t="s">
        <v>258</v>
      </c>
      <c r="K38" s="331" t="s">
        <v>258</v>
      </c>
      <c r="L38" s="327" t="s">
        <v>355</v>
      </c>
    </row>
    <row r="39" spans="1:12" s="325" customFormat="1" ht="12.75" x14ac:dyDescent="0.2">
      <c r="A39" s="327" t="s">
        <v>266</v>
      </c>
      <c r="B39" s="327" t="s">
        <v>371</v>
      </c>
      <c r="C39" s="328" t="s">
        <v>257</v>
      </c>
      <c r="D39" s="329">
        <v>2166.67</v>
      </c>
      <c r="E39" s="329" t="s">
        <v>258</v>
      </c>
      <c r="F39" s="329" t="s">
        <v>258</v>
      </c>
      <c r="G39" s="363"/>
      <c r="H39" s="330" t="s">
        <v>257</v>
      </c>
      <c r="I39" s="331">
        <v>47500</v>
      </c>
      <c r="J39" s="331" t="s">
        <v>258</v>
      </c>
      <c r="K39" s="331" t="s">
        <v>258</v>
      </c>
      <c r="L39" s="327" t="s">
        <v>355</v>
      </c>
    </row>
    <row r="40" spans="1:12" s="325" customFormat="1" ht="12.75" x14ac:dyDescent="0.2">
      <c r="A40" s="327" t="s">
        <v>266</v>
      </c>
      <c r="B40" s="327" t="s">
        <v>372</v>
      </c>
      <c r="C40" s="328" t="s">
        <v>257</v>
      </c>
      <c r="D40" s="329">
        <v>2166.67</v>
      </c>
      <c r="E40" s="329" t="s">
        <v>258</v>
      </c>
      <c r="F40" s="329" t="s">
        <v>258</v>
      </c>
      <c r="G40" s="363"/>
      <c r="H40" s="330" t="s">
        <v>257</v>
      </c>
      <c r="I40" s="331">
        <v>47500</v>
      </c>
      <c r="J40" s="331" t="s">
        <v>258</v>
      </c>
      <c r="K40" s="331" t="s">
        <v>258</v>
      </c>
      <c r="L40" s="327" t="s">
        <v>355</v>
      </c>
    </row>
    <row r="41" spans="1:12" s="325" customFormat="1" ht="12.75" x14ac:dyDescent="0.2">
      <c r="A41" s="327" t="s">
        <v>266</v>
      </c>
      <c r="B41" s="327" t="s">
        <v>268</v>
      </c>
      <c r="C41" s="328" t="s">
        <v>257</v>
      </c>
      <c r="D41" s="329">
        <v>2166.67</v>
      </c>
      <c r="E41" s="329" t="s">
        <v>258</v>
      </c>
      <c r="F41" s="329" t="s">
        <v>258</v>
      </c>
      <c r="G41" s="363"/>
      <c r="H41" s="330" t="s">
        <v>257</v>
      </c>
      <c r="I41" s="331">
        <v>47500</v>
      </c>
      <c r="J41" s="331" t="s">
        <v>258</v>
      </c>
      <c r="K41" s="331" t="s">
        <v>258</v>
      </c>
      <c r="L41" s="327" t="s">
        <v>355</v>
      </c>
    </row>
    <row r="42" spans="1:12" s="325" customFormat="1" ht="12.75" x14ac:dyDescent="0.2">
      <c r="A42" s="327" t="s">
        <v>266</v>
      </c>
      <c r="B42" s="327" t="s">
        <v>373</v>
      </c>
      <c r="C42" s="328" t="s">
        <v>257</v>
      </c>
      <c r="D42" s="329">
        <v>2010.42</v>
      </c>
      <c r="E42" s="329" t="s">
        <v>258</v>
      </c>
      <c r="F42" s="329" t="s">
        <v>258</v>
      </c>
      <c r="G42" s="363"/>
      <c r="H42" s="330" t="s">
        <v>257</v>
      </c>
      <c r="I42" s="331">
        <v>47500</v>
      </c>
      <c r="J42" s="331" t="s">
        <v>258</v>
      </c>
      <c r="K42" s="331" t="s">
        <v>258</v>
      </c>
      <c r="L42" s="327" t="s">
        <v>355</v>
      </c>
    </row>
    <row r="43" spans="1:12" s="325" customFormat="1" ht="12.75" x14ac:dyDescent="0.2">
      <c r="A43" s="327" t="s">
        <v>266</v>
      </c>
      <c r="B43" s="327" t="s">
        <v>374</v>
      </c>
      <c r="C43" s="328" t="s">
        <v>257</v>
      </c>
      <c r="D43" s="329">
        <v>2166.67</v>
      </c>
      <c r="E43" s="329" t="s">
        <v>258</v>
      </c>
      <c r="F43" s="329" t="s">
        <v>258</v>
      </c>
      <c r="G43" s="363"/>
      <c r="H43" s="330" t="s">
        <v>257</v>
      </c>
      <c r="I43" s="331">
        <v>47500</v>
      </c>
      <c r="J43" s="331" t="s">
        <v>258</v>
      </c>
      <c r="K43" s="331" t="s">
        <v>258</v>
      </c>
      <c r="L43" s="327" t="s">
        <v>355</v>
      </c>
    </row>
    <row r="44" spans="1:12" s="325" customFormat="1" ht="12.75" x14ac:dyDescent="0.2">
      <c r="A44" s="327" t="s">
        <v>266</v>
      </c>
      <c r="B44" s="327" t="s">
        <v>269</v>
      </c>
      <c r="C44" s="328" t="s">
        <v>257</v>
      </c>
      <c r="D44" s="329">
        <v>2166.67</v>
      </c>
      <c r="E44" s="329" t="s">
        <v>258</v>
      </c>
      <c r="F44" s="329" t="s">
        <v>258</v>
      </c>
      <c r="G44" s="363"/>
      <c r="H44" s="330" t="s">
        <v>257</v>
      </c>
      <c r="I44" s="331">
        <v>47500</v>
      </c>
      <c r="J44" s="331" t="s">
        <v>258</v>
      </c>
      <c r="K44" s="331" t="s">
        <v>258</v>
      </c>
      <c r="L44" s="327" t="s">
        <v>355</v>
      </c>
    </row>
    <row r="45" spans="1:12" s="325" customFormat="1" ht="12.75" x14ac:dyDescent="0.2">
      <c r="A45" s="327" t="s">
        <v>266</v>
      </c>
      <c r="B45" s="327" t="s">
        <v>375</v>
      </c>
      <c r="C45" s="328" t="s">
        <v>257</v>
      </c>
      <c r="D45" s="329">
        <v>2010.42</v>
      </c>
      <c r="E45" s="329" t="s">
        <v>258</v>
      </c>
      <c r="F45" s="329" t="s">
        <v>258</v>
      </c>
      <c r="G45" s="363"/>
      <c r="H45" s="330" t="s">
        <v>257</v>
      </c>
      <c r="I45" s="331">
        <v>47500</v>
      </c>
      <c r="J45" s="331" t="s">
        <v>258</v>
      </c>
      <c r="K45" s="331" t="s">
        <v>258</v>
      </c>
      <c r="L45" s="327" t="s">
        <v>355</v>
      </c>
    </row>
    <row r="46" spans="1:12" s="325" customFormat="1" ht="12.75" x14ac:dyDescent="0.2">
      <c r="A46" s="327" t="s">
        <v>266</v>
      </c>
      <c r="B46" s="327" t="s">
        <v>376</v>
      </c>
      <c r="C46" s="328" t="s">
        <v>257</v>
      </c>
      <c r="D46" s="329">
        <v>2093.75</v>
      </c>
      <c r="E46" s="329" t="s">
        <v>258</v>
      </c>
      <c r="F46" s="329" t="s">
        <v>258</v>
      </c>
      <c r="G46" s="363"/>
      <c r="H46" s="330" t="s">
        <v>257</v>
      </c>
      <c r="I46" s="331">
        <v>47500</v>
      </c>
      <c r="J46" s="331" t="s">
        <v>258</v>
      </c>
      <c r="K46" s="331" t="s">
        <v>258</v>
      </c>
      <c r="L46" s="327" t="s">
        <v>355</v>
      </c>
    </row>
    <row r="47" spans="1:12" s="325" customFormat="1" ht="12.75" x14ac:dyDescent="0.2">
      <c r="A47" s="327" t="s">
        <v>266</v>
      </c>
      <c r="B47" s="327" t="s">
        <v>736</v>
      </c>
      <c r="C47" s="328" t="s">
        <v>257</v>
      </c>
      <c r="D47" s="329">
        <v>2166.67</v>
      </c>
      <c r="E47" s="329" t="s">
        <v>258</v>
      </c>
      <c r="F47" s="329" t="s">
        <v>258</v>
      </c>
      <c r="G47" s="363"/>
      <c r="H47" s="330" t="s">
        <v>257</v>
      </c>
      <c r="I47" s="331">
        <v>47500</v>
      </c>
      <c r="J47" s="331" t="s">
        <v>258</v>
      </c>
      <c r="K47" s="331" t="s">
        <v>258</v>
      </c>
      <c r="L47" s="327" t="s">
        <v>355</v>
      </c>
    </row>
    <row r="48" spans="1:12" s="325" customFormat="1" ht="12.75" x14ac:dyDescent="0.2">
      <c r="A48" s="327" t="s">
        <v>270</v>
      </c>
      <c r="B48" s="327" t="s">
        <v>271</v>
      </c>
      <c r="C48" s="328" t="s">
        <v>257</v>
      </c>
      <c r="D48" s="329" t="s">
        <v>258</v>
      </c>
      <c r="E48" s="329" t="s">
        <v>258</v>
      </c>
      <c r="F48" s="329">
        <v>2010.33</v>
      </c>
      <c r="G48" s="363"/>
      <c r="H48" s="330" t="s">
        <v>257</v>
      </c>
      <c r="I48" s="331">
        <v>47500</v>
      </c>
      <c r="J48" s="331" t="s">
        <v>258</v>
      </c>
      <c r="K48" s="331" t="s">
        <v>258</v>
      </c>
      <c r="L48" s="327"/>
    </row>
    <row r="49" spans="1:12" s="325" customFormat="1" ht="12.75" x14ac:dyDescent="0.2">
      <c r="A49" s="327" t="s">
        <v>270</v>
      </c>
      <c r="B49" s="327" t="s">
        <v>272</v>
      </c>
      <c r="C49" s="328" t="s">
        <v>273</v>
      </c>
      <c r="D49" s="329" t="s">
        <v>258</v>
      </c>
      <c r="E49" s="329" t="s">
        <v>258</v>
      </c>
      <c r="F49" s="329">
        <v>2097.7800000000002</v>
      </c>
      <c r="G49" s="363"/>
      <c r="H49" s="330" t="s">
        <v>257</v>
      </c>
      <c r="I49" s="331">
        <v>47500</v>
      </c>
      <c r="J49" s="331" t="s">
        <v>258</v>
      </c>
      <c r="K49" s="331" t="s">
        <v>258</v>
      </c>
      <c r="L49" s="327"/>
    </row>
    <row r="50" spans="1:12" s="325" customFormat="1" ht="12.75" x14ac:dyDescent="0.2">
      <c r="A50" s="327" t="s">
        <v>274</v>
      </c>
      <c r="B50" s="327" t="s">
        <v>275</v>
      </c>
      <c r="C50" s="328" t="s">
        <v>257</v>
      </c>
      <c r="D50" s="329" t="s">
        <v>258</v>
      </c>
      <c r="E50" s="329" t="s">
        <v>258</v>
      </c>
      <c r="F50" s="329">
        <v>2010.33</v>
      </c>
      <c r="G50" s="363"/>
      <c r="H50" s="330" t="s">
        <v>257</v>
      </c>
      <c r="I50" s="331">
        <v>47500</v>
      </c>
      <c r="J50" s="331" t="s">
        <v>258</v>
      </c>
      <c r="K50" s="331" t="s">
        <v>258</v>
      </c>
      <c r="L50" s="327"/>
    </row>
    <row r="51" spans="1:12" s="325" customFormat="1" ht="12.75" x14ac:dyDescent="0.2">
      <c r="A51" s="327" t="s">
        <v>274</v>
      </c>
      <c r="B51" s="327" t="s">
        <v>735</v>
      </c>
      <c r="C51" s="328" t="s">
        <v>273</v>
      </c>
      <c r="D51" s="329" t="s">
        <v>258</v>
      </c>
      <c r="E51" s="329" t="s">
        <v>258</v>
      </c>
      <c r="F51" s="329">
        <v>2097.7800000000002</v>
      </c>
      <c r="G51" s="363"/>
      <c r="H51" s="330" t="s">
        <v>257</v>
      </c>
      <c r="I51" s="331">
        <v>47500</v>
      </c>
      <c r="J51" s="331" t="s">
        <v>258</v>
      </c>
      <c r="K51" s="331" t="s">
        <v>258</v>
      </c>
      <c r="L51" s="327"/>
    </row>
    <row r="52" spans="1:12" s="325" customFormat="1" ht="12.75" x14ac:dyDescent="0.2">
      <c r="A52" s="327" t="s">
        <v>274</v>
      </c>
      <c r="B52" s="327" t="s">
        <v>276</v>
      </c>
      <c r="C52" s="328" t="s">
        <v>273</v>
      </c>
      <c r="D52" s="329" t="s">
        <v>258</v>
      </c>
      <c r="E52" s="329" t="s">
        <v>258</v>
      </c>
      <c r="F52" s="329">
        <v>1584</v>
      </c>
      <c r="G52" s="363"/>
      <c r="H52" s="330" t="s">
        <v>257</v>
      </c>
      <c r="I52" s="331">
        <v>47500</v>
      </c>
      <c r="J52" s="331" t="s">
        <v>258</v>
      </c>
      <c r="K52" s="331" t="s">
        <v>258</v>
      </c>
      <c r="L52" s="327"/>
    </row>
    <row r="53" spans="1:12" s="325" customFormat="1" ht="12.75" x14ac:dyDescent="0.2">
      <c r="A53" s="327" t="s">
        <v>274</v>
      </c>
      <c r="B53" s="327" t="s">
        <v>277</v>
      </c>
      <c r="C53" s="328" t="s">
        <v>257</v>
      </c>
      <c r="D53" s="329" t="s">
        <v>258</v>
      </c>
      <c r="E53" s="329" t="s">
        <v>258</v>
      </c>
      <c r="F53" s="329">
        <v>2010.33</v>
      </c>
      <c r="G53" s="363"/>
      <c r="H53" s="330" t="s">
        <v>257</v>
      </c>
      <c r="I53" s="331">
        <v>47500</v>
      </c>
      <c r="J53" s="331" t="s">
        <v>258</v>
      </c>
      <c r="K53" s="331" t="s">
        <v>258</v>
      </c>
      <c r="L53" s="327"/>
    </row>
    <row r="54" spans="1:12" s="325" customFormat="1" ht="12.75" x14ac:dyDescent="0.2">
      <c r="A54" s="327" t="s">
        <v>274</v>
      </c>
      <c r="B54" s="327" t="s">
        <v>278</v>
      </c>
      <c r="C54" s="328" t="s">
        <v>273</v>
      </c>
      <c r="D54" s="329" t="s">
        <v>258</v>
      </c>
      <c r="E54" s="329" t="s">
        <v>258</v>
      </c>
      <c r="F54" s="329">
        <v>2097.7800000000002</v>
      </c>
      <c r="G54" s="363"/>
      <c r="H54" s="330" t="s">
        <v>257</v>
      </c>
      <c r="I54" s="331">
        <v>47500</v>
      </c>
      <c r="J54" s="331" t="s">
        <v>258</v>
      </c>
      <c r="K54" s="331" t="s">
        <v>258</v>
      </c>
      <c r="L54" s="327"/>
    </row>
    <row r="55" spans="1:12" s="325" customFormat="1" ht="12.75" x14ac:dyDescent="0.2">
      <c r="A55" s="327" t="s">
        <v>274</v>
      </c>
      <c r="B55" s="327" t="s">
        <v>279</v>
      </c>
      <c r="C55" s="328" t="s">
        <v>273</v>
      </c>
      <c r="D55" s="329" t="s">
        <v>258</v>
      </c>
      <c r="E55" s="329" t="s">
        <v>258</v>
      </c>
      <c r="F55" s="329">
        <v>2097.7800000000002</v>
      </c>
      <c r="G55" s="363"/>
      <c r="H55" s="330" t="s">
        <v>257</v>
      </c>
      <c r="I55" s="331">
        <v>50000</v>
      </c>
      <c r="J55" s="331">
        <v>54000</v>
      </c>
      <c r="K55" s="331" t="s">
        <v>258</v>
      </c>
      <c r="L55" s="327"/>
    </row>
    <row r="56" spans="1:12" s="325" customFormat="1" ht="12.75" x14ac:dyDescent="0.2">
      <c r="A56" s="327" t="s">
        <v>274</v>
      </c>
      <c r="B56" s="327" t="s">
        <v>280</v>
      </c>
      <c r="C56" s="328" t="s">
        <v>273</v>
      </c>
      <c r="D56" s="329" t="s">
        <v>258</v>
      </c>
      <c r="E56" s="329" t="s">
        <v>258</v>
      </c>
      <c r="F56" s="329">
        <v>2097.77</v>
      </c>
      <c r="G56" s="363"/>
      <c r="H56" s="330" t="s">
        <v>257</v>
      </c>
      <c r="I56" s="331">
        <v>47500</v>
      </c>
      <c r="J56" s="331" t="s">
        <v>258</v>
      </c>
      <c r="K56" s="331" t="s">
        <v>258</v>
      </c>
      <c r="L56" s="327"/>
    </row>
    <row r="57" spans="1:12" s="325" customFormat="1" ht="12.75" x14ac:dyDescent="0.2">
      <c r="A57" s="327" t="s">
        <v>274</v>
      </c>
      <c r="B57" s="327" t="s">
        <v>281</v>
      </c>
      <c r="C57" s="328" t="s">
        <v>257</v>
      </c>
      <c r="D57" s="329" t="s">
        <v>258</v>
      </c>
      <c r="E57" s="329" t="s">
        <v>258</v>
      </c>
      <c r="F57" s="329">
        <v>2010.33</v>
      </c>
      <c r="G57" s="363"/>
      <c r="H57" s="330" t="s">
        <v>257</v>
      </c>
      <c r="I57" s="331">
        <v>47500</v>
      </c>
      <c r="J57" s="331" t="s">
        <v>258</v>
      </c>
      <c r="K57" s="331" t="s">
        <v>258</v>
      </c>
      <c r="L57" s="327"/>
    </row>
    <row r="58" spans="1:12" s="325" customFormat="1" ht="12.75" x14ac:dyDescent="0.2">
      <c r="A58" s="327" t="s">
        <v>274</v>
      </c>
      <c r="B58" s="327" t="s">
        <v>282</v>
      </c>
      <c r="C58" s="328" t="s">
        <v>273</v>
      </c>
      <c r="D58" s="329" t="s">
        <v>258</v>
      </c>
      <c r="E58" s="329" t="s">
        <v>258</v>
      </c>
      <c r="F58" s="362">
        <v>2097.7800000000002</v>
      </c>
      <c r="G58" s="363"/>
      <c r="H58" s="330" t="s">
        <v>273</v>
      </c>
      <c r="I58" s="331">
        <v>47500</v>
      </c>
      <c r="J58" s="331" t="s">
        <v>258</v>
      </c>
      <c r="K58" s="331" t="s">
        <v>258</v>
      </c>
      <c r="L58" s="327"/>
    </row>
    <row r="59" spans="1:12" s="325" customFormat="1" ht="12.75" x14ac:dyDescent="0.2">
      <c r="A59" s="327" t="s">
        <v>274</v>
      </c>
      <c r="B59" s="327" t="s">
        <v>377</v>
      </c>
      <c r="C59" s="328" t="s">
        <v>273</v>
      </c>
      <c r="D59" s="329" t="s">
        <v>258</v>
      </c>
      <c r="E59" s="329" t="s">
        <v>258</v>
      </c>
      <c r="F59" s="329">
        <v>2097.7800000000002</v>
      </c>
      <c r="G59" s="363"/>
      <c r="H59" s="330" t="s">
        <v>257</v>
      </c>
      <c r="I59" s="331">
        <v>47500</v>
      </c>
      <c r="J59" s="331">
        <v>54540</v>
      </c>
      <c r="K59" s="331" t="s">
        <v>258</v>
      </c>
      <c r="L59" s="327"/>
    </row>
    <row r="60" spans="1:12" s="325" customFormat="1" ht="12.75" x14ac:dyDescent="0.2">
      <c r="A60" s="327" t="s">
        <v>274</v>
      </c>
      <c r="B60" s="327" t="s">
        <v>378</v>
      </c>
      <c r="C60" s="328" t="s">
        <v>273</v>
      </c>
      <c r="D60" s="329" t="s">
        <v>258</v>
      </c>
      <c r="E60" s="329" t="s">
        <v>258</v>
      </c>
      <c r="F60" s="329">
        <v>2097.7800000000002</v>
      </c>
      <c r="G60" s="363"/>
      <c r="H60" s="330" t="s">
        <v>257</v>
      </c>
      <c r="I60" s="331">
        <v>47500</v>
      </c>
      <c r="J60" s="331">
        <v>54540</v>
      </c>
      <c r="K60" s="331" t="s">
        <v>258</v>
      </c>
      <c r="L60" s="327"/>
    </row>
    <row r="61" spans="1:12" s="325" customFormat="1" ht="12.75" x14ac:dyDescent="0.2">
      <c r="A61" s="327" t="s">
        <v>274</v>
      </c>
      <c r="B61" s="327" t="s">
        <v>283</v>
      </c>
      <c r="C61" s="328" t="s">
        <v>273</v>
      </c>
      <c r="D61" s="329" t="s">
        <v>258</v>
      </c>
      <c r="E61" s="329" t="s">
        <v>258</v>
      </c>
      <c r="F61" s="329">
        <v>2097.7800000000002</v>
      </c>
      <c r="G61" s="363"/>
      <c r="H61" s="330" t="s">
        <v>257</v>
      </c>
      <c r="I61" s="331">
        <v>47500</v>
      </c>
      <c r="J61" s="331" t="s">
        <v>258</v>
      </c>
      <c r="K61" s="331" t="s">
        <v>258</v>
      </c>
      <c r="L61" s="327"/>
    </row>
    <row r="62" spans="1:12" s="325" customFormat="1" ht="12.75" x14ac:dyDescent="0.2">
      <c r="A62" s="327" t="s">
        <v>284</v>
      </c>
      <c r="B62" s="327" t="s">
        <v>285</v>
      </c>
      <c r="C62" s="328" t="s">
        <v>273</v>
      </c>
      <c r="D62" s="329" t="s">
        <v>258</v>
      </c>
      <c r="E62" s="329" t="s">
        <v>258</v>
      </c>
      <c r="F62" s="329">
        <v>2000</v>
      </c>
      <c r="G62" s="363"/>
      <c r="H62" s="330" t="s">
        <v>273</v>
      </c>
      <c r="I62" s="331" t="s">
        <v>258</v>
      </c>
      <c r="J62" s="331" t="s">
        <v>258</v>
      </c>
      <c r="K62" s="331" t="s">
        <v>258</v>
      </c>
      <c r="L62" s="327"/>
    </row>
    <row r="63" spans="1:12" s="325" customFormat="1" ht="12.75" x14ac:dyDescent="0.2">
      <c r="A63" s="327" t="s">
        <v>284</v>
      </c>
      <c r="B63" s="327" t="s">
        <v>286</v>
      </c>
      <c r="C63" s="328" t="s">
        <v>257</v>
      </c>
      <c r="D63" s="329" t="s">
        <v>258</v>
      </c>
      <c r="E63" s="329" t="s">
        <v>258</v>
      </c>
      <c r="F63" s="1058">
        <v>2023.17</v>
      </c>
      <c r="G63" s="363"/>
      <c r="H63" s="330" t="s">
        <v>257</v>
      </c>
      <c r="I63" s="331">
        <v>47500</v>
      </c>
      <c r="J63" s="331" t="s">
        <v>258</v>
      </c>
      <c r="K63" s="331" t="s">
        <v>258</v>
      </c>
      <c r="L63" s="327"/>
    </row>
    <row r="64" spans="1:12" s="325" customFormat="1" ht="12.75" x14ac:dyDescent="0.2">
      <c r="A64" s="327" t="s">
        <v>284</v>
      </c>
      <c r="B64" s="327" t="s">
        <v>287</v>
      </c>
      <c r="C64" s="328" t="s">
        <v>273</v>
      </c>
      <c r="D64" s="329" t="s">
        <v>258</v>
      </c>
      <c r="E64" s="329" t="s">
        <v>258</v>
      </c>
      <c r="F64" s="329">
        <v>2000</v>
      </c>
      <c r="G64" s="363"/>
      <c r="H64" s="330" t="s">
        <v>273</v>
      </c>
      <c r="I64" s="331" t="s">
        <v>258</v>
      </c>
      <c r="J64" s="331" t="s">
        <v>258</v>
      </c>
      <c r="K64" s="331" t="s">
        <v>258</v>
      </c>
      <c r="L64" s="327"/>
    </row>
    <row r="65" spans="1:12" s="325" customFormat="1" ht="12.75" x14ac:dyDescent="0.2">
      <c r="A65" s="327" t="s">
        <v>284</v>
      </c>
      <c r="B65" s="327" t="s">
        <v>288</v>
      </c>
      <c r="C65" s="328" t="s">
        <v>257</v>
      </c>
      <c r="D65" s="329" t="s">
        <v>258</v>
      </c>
      <c r="E65" s="329" t="s">
        <v>258</v>
      </c>
      <c r="F65" s="329">
        <v>2023.17</v>
      </c>
      <c r="G65" s="363"/>
      <c r="H65" s="330" t="s">
        <v>257</v>
      </c>
      <c r="I65" s="331">
        <v>47500</v>
      </c>
      <c r="J65" s="331" t="s">
        <v>258</v>
      </c>
      <c r="K65" s="331" t="s">
        <v>258</v>
      </c>
      <c r="L65" s="327"/>
    </row>
    <row r="66" spans="1:12" s="325" customFormat="1" ht="12.75" x14ac:dyDescent="0.2">
      <c r="A66" s="327" t="s">
        <v>284</v>
      </c>
      <c r="B66" s="327" t="s">
        <v>289</v>
      </c>
      <c r="C66" s="328" t="s">
        <v>273</v>
      </c>
      <c r="D66" s="329" t="s">
        <v>258</v>
      </c>
      <c r="E66" s="329" t="s">
        <v>258</v>
      </c>
      <c r="F66" s="329">
        <v>2333.33</v>
      </c>
      <c r="G66" s="363"/>
      <c r="H66" s="330" t="s">
        <v>273</v>
      </c>
      <c r="I66" s="331" t="s">
        <v>258</v>
      </c>
      <c r="J66" s="331" t="s">
        <v>258</v>
      </c>
      <c r="K66" s="331" t="s">
        <v>258</v>
      </c>
      <c r="L66" s="327"/>
    </row>
    <row r="67" spans="1:12" s="325" customFormat="1" ht="12.75" x14ac:dyDescent="0.2">
      <c r="A67" s="327" t="s">
        <v>284</v>
      </c>
      <c r="B67" s="327" t="s">
        <v>290</v>
      </c>
      <c r="C67" s="328" t="s">
        <v>257</v>
      </c>
      <c r="D67" s="329" t="s">
        <v>258</v>
      </c>
      <c r="E67" s="329" t="s">
        <v>258</v>
      </c>
      <c r="F67" s="329">
        <v>2236.13</v>
      </c>
      <c r="G67" s="363"/>
      <c r="H67" s="330" t="s">
        <v>257</v>
      </c>
      <c r="I67" s="331">
        <v>47500</v>
      </c>
      <c r="J67" s="331" t="s">
        <v>258</v>
      </c>
      <c r="K67" s="331" t="s">
        <v>258</v>
      </c>
      <c r="L67" s="327"/>
    </row>
    <row r="68" spans="1:12" s="325" customFormat="1" ht="12.75" x14ac:dyDescent="0.2">
      <c r="A68" s="327" t="s">
        <v>284</v>
      </c>
      <c r="B68" s="327" t="s">
        <v>379</v>
      </c>
      <c r="C68" s="328" t="s">
        <v>273</v>
      </c>
      <c r="D68" s="329" t="s">
        <v>258</v>
      </c>
      <c r="E68" s="329" t="s">
        <v>258</v>
      </c>
      <c r="F68" s="329">
        <v>2555.56</v>
      </c>
      <c r="G68" s="363"/>
      <c r="H68" s="330" t="s">
        <v>273</v>
      </c>
      <c r="I68" s="331" t="s">
        <v>258</v>
      </c>
      <c r="J68" s="331" t="s">
        <v>258</v>
      </c>
      <c r="K68" s="331" t="s">
        <v>258</v>
      </c>
      <c r="L68" s="327"/>
    </row>
    <row r="69" spans="1:12" s="325" customFormat="1" ht="12.75" x14ac:dyDescent="0.2">
      <c r="A69" s="327" t="s">
        <v>284</v>
      </c>
      <c r="B69" s="327" t="s">
        <v>380</v>
      </c>
      <c r="C69" s="328" t="s">
        <v>273</v>
      </c>
      <c r="D69" s="329" t="s">
        <v>258</v>
      </c>
      <c r="E69" s="329" t="s">
        <v>258</v>
      </c>
      <c r="F69" s="329">
        <v>2777.78</v>
      </c>
      <c r="G69" s="363"/>
      <c r="H69" s="330" t="s">
        <v>273</v>
      </c>
      <c r="I69" s="331" t="s">
        <v>258</v>
      </c>
      <c r="J69" s="331" t="s">
        <v>258</v>
      </c>
      <c r="K69" s="331" t="s">
        <v>258</v>
      </c>
      <c r="L69" s="327"/>
    </row>
    <row r="70" spans="1:12" s="325" customFormat="1" ht="12.75" x14ac:dyDescent="0.2">
      <c r="A70" s="327" t="s">
        <v>284</v>
      </c>
      <c r="B70" s="327" t="s">
        <v>381</v>
      </c>
      <c r="C70" s="328" t="s">
        <v>257</v>
      </c>
      <c r="D70" s="329" t="s">
        <v>258</v>
      </c>
      <c r="E70" s="329" t="s">
        <v>258</v>
      </c>
      <c r="F70" s="329">
        <v>2449.08</v>
      </c>
      <c r="G70" s="363"/>
      <c r="H70" s="330" t="s">
        <v>257</v>
      </c>
      <c r="I70" s="331">
        <v>47500</v>
      </c>
      <c r="J70" s="331" t="s">
        <v>258</v>
      </c>
      <c r="K70" s="331" t="s">
        <v>258</v>
      </c>
      <c r="L70" s="327"/>
    </row>
    <row r="71" spans="1:12" s="325" customFormat="1" ht="12.75" x14ac:dyDescent="0.2">
      <c r="A71" s="327" t="s">
        <v>284</v>
      </c>
      <c r="B71" s="327" t="s">
        <v>382</v>
      </c>
      <c r="C71" s="328" t="s">
        <v>257</v>
      </c>
      <c r="D71" s="329" t="s">
        <v>258</v>
      </c>
      <c r="E71" s="329" t="s">
        <v>258</v>
      </c>
      <c r="F71" s="329">
        <v>2662.08</v>
      </c>
      <c r="G71" s="363"/>
      <c r="H71" s="330" t="s">
        <v>257</v>
      </c>
      <c r="I71" s="331">
        <v>47500</v>
      </c>
      <c r="J71" s="331" t="s">
        <v>258</v>
      </c>
      <c r="K71" s="331" t="s">
        <v>258</v>
      </c>
      <c r="L71" s="327"/>
    </row>
    <row r="72" spans="1:12" s="325" customFormat="1" ht="12.75" x14ac:dyDescent="0.2">
      <c r="A72" s="327" t="s">
        <v>284</v>
      </c>
      <c r="B72" s="327" t="s">
        <v>291</v>
      </c>
      <c r="C72" s="328" t="s">
        <v>273</v>
      </c>
      <c r="D72" s="329" t="s">
        <v>258</v>
      </c>
      <c r="E72" s="329" t="s">
        <v>258</v>
      </c>
      <c r="F72" s="329">
        <v>2111.11</v>
      </c>
      <c r="G72" s="363"/>
      <c r="H72" s="330" t="s">
        <v>273</v>
      </c>
      <c r="I72" s="331" t="s">
        <v>258</v>
      </c>
      <c r="J72" s="331" t="s">
        <v>258</v>
      </c>
      <c r="K72" s="331" t="s">
        <v>258</v>
      </c>
      <c r="L72" s="327"/>
    </row>
    <row r="73" spans="1:12" s="325" customFormat="1" ht="12.75" x14ac:dyDescent="0.2">
      <c r="A73" s="327" t="s">
        <v>284</v>
      </c>
      <c r="B73" s="327" t="s">
        <v>292</v>
      </c>
      <c r="C73" s="328" t="s">
        <v>257</v>
      </c>
      <c r="D73" s="329" t="s">
        <v>258</v>
      </c>
      <c r="E73" s="329" t="s">
        <v>258</v>
      </c>
      <c r="F73" s="329">
        <v>2023.17</v>
      </c>
      <c r="G73" s="363"/>
      <c r="H73" s="330" t="s">
        <v>257</v>
      </c>
      <c r="I73" s="331">
        <v>47500</v>
      </c>
      <c r="J73" s="331" t="s">
        <v>258</v>
      </c>
      <c r="K73" s="331" t="s">
        <v>258</v>
      </c>
      <c r="L73" s="327"/>
    </row>
    <row r="74" spans="1:12" s="325" customFormat="1" ht="12.75" x14ac:dyDescent="0.2">
      <c r="A74" s="327" t="s">
        <v>284</v>
      </c>
      <c r="B74" s="327" t="s">
        <v>383</v>
      </c>
      <c r="C74" s="328" t="s">
        <v>273</v>
      </c>
      <c r="D74" s="329" t="s">
        <v>258</v>
      </c>
      <c r="E74" s="329" t="s">
        <v>258</v>
      </c>
      <c r="F74" s="329">
        <v>2222.2199999999998</v>
      </c>
      <c r="G74" s="363"/>
      <c r="H74" s="330" t="s">
        <v>273</v>
      </c>
      <c r="I74" s="331" t="s">
        <v>258</v>
      </c>
      <c r="J74" s="331" t="s">
        <v>258</v>
      </c>
      <c r="K74" s="331" t="s">
        <v>258</v>
      </c>
      <c r="L74" s="327"/>
    </row>
    <row r="75" spans="1:12" s="325" customFormat="1" ht="12.75" x14ac:dyDescent="0.2">
      <c r="A75" s="327" t="s">
        <v>284</v>
      </c>
      <c r="B75" s="327" t="s">
        <v>384</v>
      </c>
      <c r="C75" s="328" t="s">
        <v>273</v>
      </c>
      <c r="D75" s="329" t="s">
        <v>258</v>
      </c>
      <c r="E75" s="329" t="s">
        <v>258</v>
      </c>
      <c r="F75" s="329">
        <v>2111.11</v>
      </c>
      <c r="G75" s="363"/>
      <c r="H75" s="330" t="s">
        <v>273</v>
      </c>
      <c r="I75" s="331" t="s">
        <v>258</v>
      </c>
      <c r="J75" s="331" t="s">
        <v>258</v>
      </c>
      <c r="K75" s="331" t="s">
        <v>258</v>
      </c>
      <c r="L75" s="327"/>
    </row>
    <row r="76" spans="1:12" s="325" customFormat="1" ht="12.75" x14ac:dyDescent="0.2">
      <c r="A76" s="327" t="s">
        <v>284</v>
      </c>
      <c r="B76" s="327" t="s">
        <v>385</v>
      </c>
      <c r="C76" s="328" t="s">
        <v>257</v>
      </c>
      <c r="D76" s="329" t="s">
        <v>258</v>
      </c>
      <c r="E76" s="329" t="s">
        <v>258</v>
      </c>
      <c r="F76" s="329">
        <v>2129.67</v>
      </c>
      <c r="G76" s="363"/>
      <c r="H76" s="330" t="s">
        <v>257</v>
      </c>
      <c r="I76" s="331">
        <v>47500</v>
      </c>
      <c r="J76" s="331" t="s">
        <v>258</v>
      </c>
      <c r="K76" s="331" t="s">
        <v>258</v>
      </c>
      <c r="L76" s="327"/>
    </row>
    <row r="77" spans="1:12" s="325" customFormat="1" ht="12.75" x14ac:dyDescent="0.2">
      <c r="A77" s="327" t="s">
        <v>284</v>
      </c>
      <c r="B77" s="327" t="s">
        <v>386</v>
      </c>
      <c r="C77" s="328" t="s">
        <v>257</v>
      </c>
      <c r="D77" s="329" t="s">
        <v>258</v>
      </c>
      <c r="E77" s="329" t="s">
        <v>258</v>
      </c>
      <c r="F77" s="329">
        <v>2023.17</v>
      </c>
      <c r="G77" s="363"/>
      <c r="H77" s="330" t="s">
        <v>257</v>
      </c>
      <c r="I77" s="331">
        <v>47500</v>
      </c>
      <c r="J77" s="331" t="s">
        <v>258</v>
      </c>
      <c r="K77" s="331" t="s">
        <v>258</v>
      </c>
      <c r="L77" s="327"/>
    </row>
    <row r="78" spans="1:12" s="325" customFormat="1" ht="12.75" x14ac:dyDescent="0.2">
      <c r="A78" s="327" t="s">
        <v>284</v>
      </c>
      <c r="B78" s="327" t="s">
        <v>293</v>
      </c>
      <c r="C78" s="328" t="s">
        <v>273</v>
      </c>
      <c r="D78" s="329" t="s">
        <v>258</v>
      </c>
      <c r="E78" s="329" t="s">
        <v>258</v>
      </c>
      <c r="F78" s="329">
        <v>2111.11</v>
      </c>
      <c r="G78" s="363"/>
      <c r="H78" s="330" t="s">
        <v>273</v>
      </c>
      <c r="I78" s="331" t="s">
        <v>258</v>
      </c>
      <c r="J78" s="331" t="s">
        <v>258</v>
      </c>
      <c r="K78" s="331" t="s">
        <v>258</v>
      </c>
      <c r="L78" s="327"/>
    </row>
    <row r="79" spans="1:12" s="325" customFormat="1" ht="12.75" x14ac:dyDescent="0.2">
      <c r="A79" s="327" t="s">
        <v>284</v>
      </c>
      <c r="B79" s="327" t="s">
        <v>294</v>
      </c>
      <c r="C79" s="328" t="s">
        <v>257</v>
      </c>
      <c r="D79" s="329" t="s">
        <v>258</v>
      </c>
      <c r="E79" s="329" t="s">
        <v>258</v>
      </c>
      <c r="F79" s="329">
        <v>2023.17</v>
      </c>
      <c r="G79" s="363"/>
      <c r="H79" s="330" t="s">
        <v>257</v>
      </c>
      <c r="I79" s="331">
        <v>47500</v>
      </c>
      <c r="J79" s="331" t="s">
        <v>258</v>
      </c>
      <c r="K79" s="331" t="s">
        <v>258</v>
      </c>
      <c r="L79" s="327"/>
    </row>
    <row r="80" spans="1:12" s="325" customFormat="1" ht="12.75" x14ac:dyDescent="0.2">
      <c r="A80" s="327" t="s">
        <v>284</v>
      </c>
      <c r="B80" s="327" t="s">
        <v>295</v>
      </c>
      <c r="C80" s="328" t="s">
        <v>273</v>
      </c>
      <c r="D80" s="329" t="s">
        <v>258</v>
      </c>
      <c r="E80" s="329" t="s">
        <v>258</v>
      </c>
      <c r="F80" s="329">
        <v>2111.11</v>
      </c>
      <c r="G80" s="363"/>
      <c r="H80" s="330" t="s">
        <v>273</v>
      </c>
      <c r="I80" s="331" t="s">
        <v>258</v>
      </c>
      <c r="J80" s="331" t="s">
        <v>258</v>
      </c>
      <c r="K80" s="331" t="s">
        <v>258</v>
      </c>
      <c r="L80" s="327"/>
    </row>
    <row r="81" spans="1:12" s="325" customFormat="1" ht="12.75" x14ac:dyDescent="0.2">
      <c r="A81" s="327" t="s">
        <v>284</v>
      </c>
      <c r="B81" s="327" t="s">
        <v>296</v>
      </c>
      <c r="C81" s="328" t="s">
        <v>257</v>
      </c>
      <c r="D81" s="329" t="s">
        <v>258</v>
      </c>
      <c r="E81" s="329" t="s">
        <v>258</v>
      </c>
      <c r="F81" s="329">
        <v>2023.17</v>
      </c>
      <c r="G81" s="363"/>
      <c r="H81" s="330" t="s">
        <v>257</v>
      </c>
      <c r="I81" s="331">
        <v>47500</v>
      </c>
      <c r="J81" s="331" t="s">
        <v>258</v>
      </c>
      <c r="K81" s="331" t="s">
        <v>258</v>
      </c>
      <c r="L81" s="327"/>
    </row>
    <row r="82" spans="1:12" s="325" customFormat="1" ht="12.75" x14ac:dyDescent="0.2">
      <c r="A82" s="327" t="s">
        <v>284</v>
      </c>
      <c r="B82" s="327" t="s">
        <v>297</v>
      </c>
      <c r="C82" s="328" t="s">
        <v>273</v>
      </c>
      <c r="D82" s="329" t="s">
        <v>258</v>
      </c>
      <c r="E82" s="329" t="s">
        <v>258</v>
      </c>
      <c r="F82" s="329">
        <v>2333.33</v>
      </c>
      <c r="G82" s="363"/>
      <c r="H82" s="330" t="s">
        <v>273</v>
      </c>
      <c r="I82" s="331" t="s">
        <v>258</v>
      </c>
      <c r="J82" s="331" t="s">
        <v>258</v>
      </c>
      <c r="K82" s="331" t="s">
        <v>258</v>
      </c>
      <c r="L82" s="327"/>
    </row>
    <row r="83" spans="1:12" s="325" customFormat="1" ht="12.75" x14ac:dyDescent="0.2">
      <c r="A83" s="327" t="s">
        <v>284</v>
      </c>
      <c r="B83" s="327" t="s">
        <v>298</v>
      </c>
      <c r="C83" s="328" t="s">
        <v>257</v>
      </c>
      <c r="D83" s="329" t="s">
        <v>258</v>
      </c>
      <c r="E83" s="329" t="s">
        <v>258</v>
      </c>
      <c r="F83" s="329">
        <v>2236.13</v>
      </c>
      <c r="G83" s="363"/>
      <c r="H83" s="330" t="s">
        <v>257</v>
      </c>
      <c r="I83" s="331">
        <v>47500</v>
      </c>
      <c r="J83" s="331" t="s">
        <v>258</v>
      </c>
      <c r="K83" s="331" t="s">
        <v>258</v>
      </c>
      <c r="L83" s="327"/>
    </row>
    <row r="84" spans="1:12" s="325" customFormat="1" ht="12.75" x14ac:dyDescent="0.2">
      <c r="A84" s="327" t="s">
        <v>284</v>
      </c>
      <c r="B84" s="327" t="s">
        <v>387</v>
      </c>
      <c r="C84" s="328" t="s">
        <v>273</v>
      </c>
      <c r="D84" s="329" t="s">
        <v>258</v>
      </c>
      <c r="E84" s="329" t="s">
        <v>258</v>
      </c>
      <c r="F84" s="329">
        <v>2333.33</v>
      </c>
      <c r="G84" s="363"/>
      <c r="H84" s="330" t="s">
        <v>273</v>
      </c>
      <c r="I84" s="331" t="s">
        <v>258</v>
      </c>
      <c r="J84" s="331" t="s">
        <v>258</v>
      </c>
      <c r="K84" s="331" t="s">
        <v>258</v>
      </c>
      <c r="L84" s="327"/>
    </row>
    <row r="85" spans="1:12" s="325" customFormat="1" ht="12.75" x14ac:dyDescent="0.2">
      <c r="A85" s="327" t="s">
        <v>284</v>
      </c>
      <c r="B85" s="327" t="s">
        <v>388</v>
      </c>
      <c r="C85" s="328" t="s">
        <v>273</v>
      </c>
      <c r="D85" s="329" t="s">
        <v>258</v>
      </c>
      <c r="E85" s="329" t="s">
        <v>258</v>
      </c>
      <c r="F85" s="329">
        <v>2222.2199999999998</v>
      </c>
      <c r="G85" s="363"/>
      <c r="H85" s="330" t="s">
        <v>273</v>
      </c>
      <c r="I85" s="331" t="s">
        <v>258</v>
      </c>
      <c r="J85" s="331" t="s">
        <v>258</v>
      </c>
      <c r="K85" s="331" t="s">
        <v>258</v>
      </c>
      <c r="L85" s="327"/>
    </row>
    <row r="86" spans="1:12" s="325" customFormat="1" ht="12.75" x14ac:dyDescent="0.2">
      <c r="A86" s="327" t="s">
        <v>284</v>
      </c>
      <c r="B86" s="327" t="s">
        <v>389</v>
      </c>
      <c r="C86" s="328" t="s">
        <v>257</v>
      </c>
      <c r="D86" s="329" t="s">
        <v>258</v>
      </c>
      <c r="E86" s="329" t="s">
        <v>258</v>
      </c>
      <c r="F86" s="329">
        <v>2236.13</v>
      </c>
      <c r="G86" s="363"/>
      <c r="H86" s="330" t="s">
        <v>257</v>
      </c>
      <c r="I86" s="331">
        <v>47500</v>
      </c>
      <c r="J86" s="331" t="s">
        <v>258</v>
      </c>
      <c r="K86" s="331" t="s">
        <v>258</v>
      </c>
      <c r="L86" s="327"/>
    </row>
    <row r="87" spans="1:12" s="325" customFormat="1" ht="12.75" x14ac:dyDescent="0.2">
      <c r="A87" s="327" t="s">
        <v>284</v>
      </c>
      <c r="B87" s="327" t="s">
        <v>390</v>
      </c>
      <c r="C87" s="328" t="s">
        <v>257</v>
      </c>
      <c r="D87" s="329" t="s">
        <v>258</v>
      </c>
      <c r="E87" s="329" t="s">
        <v>258</v>
      </c>
      <c r="F87" s="329">
        <v>2129.67</v>
      </c>
      <c r="G87" s="363"/>
      <c r="H87" s="330" t="s">
        <v>257</v>
      </c>
      <c r="I87" s="331">
        <v>47500</v>
      </c>
      <c r="J87" s="331" t="s">
        <v>258</v>
      </c>
      <c r="K87" s="331" t="s">
        <v>258</v>
      </c>
      <c r="L87" s="327"/>
    </row>
    <row r="88" spans="1:12" s="325" customFormat="1" ht="12.75" x14ac:dyDescent="0.2">
      <c r="A88" s="327" t="s">
        <v>284</v>
      </c>
      <c r="B88" s="327" t="s">
        <v>299</v>
      </c>
      <c r="C88" s="328" t="s">
        <v>273</v>
      </c>
      <c r="D88" s="329" t="s">
        <v>258</v>
      </c>
      <c r="E88" s="329" t="s">
        <v>258</v>
      </c>
      <c r="F88" s="329">
        <v>2333.33</v>
      </c>
      <c r="G88" s="363"/>
      <c r="H88" s="330" t="s">
        <v>273</v>
      </c>
      <c r="I88" s="331" t="s">
        <v>258</v>
      </c>
      <c r="J88" s="331" t="s">
        <v>258</v>
      </c>
      <c r="K88" s="331" t="s">
        <v>258</v>
      </c>
      <c r="L88" s="327"/>
    </row>
    <row r="89" spans="1:12" s="325" customFormat="1" ht="12.75" x14ac:dyDescent="0.2">
      <c r="A89" s="327" t="s">
        <v>284</v>
      </c>
      <c r="B89" s="327" t="s">
        <v>300</v>
      </c>
      <c r="C89" s="328" t="s">
        <v>257</v>
      </c>
      <c r="D89" s="329" t="s">
        <v>258</v>
      </c>
      <c r="E89" s="329" t="s">
        <v>258</v>
      </c>
      <c r="F89" s="329">
        <v>2236.13</v>
      </c>
      <c r="G89" s="363"/>
      <c r="H89" s="330" t="s">
        <v>257</v>
      </c>
      <c r="I89" s="331">
        <v>47500</v>
      </c>
      <c r="J89" s="331" t="s">
        <v>258</v>
      </c>
      <c r="K89" s="331" t="s">
        <v>258</v>
      </c>
      <c r="L89" s="327"/>
    </row>
    <row r="90" spans="1:12" s="325" customFormat="1" ht="12.75" x14ac:dyDescent="0.2">
      <c r="A90" s="327" t="s">
        <v>284</v>
      </c>
      <c r="B90" s="327" t="s">
        <v>301</v>
      </c>
      <c r="C90" s="328" t="s">
        <v>273</v>
      </c>
      <c r="D90" s="329" t="s">
        <v>258</v>
      </c>
      <c r="E90" s="329" t="s">
        <v>258</v>
      </c>
      <c r="F90" s="329">
        <v>2111.11</v>
      </c>
      <c r="G90" s="363"/>
      <c r="H90" s="330" t="s">
        <v>273</v>
      </c>
      <c r="I90" s="331" t="s">
        <v>258</v>
      </c>
      <c r="J90" s="331" t="s">
        <v>258</v>
      </c>
      <c r="K90" s="331" t="s">
        <v>258</v>
      </c>
      <c r="L90" s="327"/>
    </row>
    <row r="91" spans="1:12" s="325" customFormat="1" ht="12.75" x14ac:dyDescent="0.2">
      <c r="A91" s="327" t="s">
        <v>284</v>
      </c>
      <c r="B91" s="327" t="s">
        <v>302</v>
      </c>
      <c r="C91" s="328" t="s">
        <v>257</v>
      </c>
      <c r="D91" s="329" t="s">
        <v>258</v>
      </c>
      <c r="E91" s="329" t="s">
        <v>258</v>
      </c>
      <c r="F91" s="329">
        <v>2023.17</v>
      </c>
      <c r="G91" s="363"/>
      <c r="H91" s="330" t="s">
        <v>257</v>
      </c>
      <c r="I91" s="331">
        <v>47500</v>
      </c>
      <c r="J91" s="331" t="s">
        <v>258</v>
      </c>
      <c r="K91" s="331" t="s">
        <v>258</v>
      </c>
      <c r="L91" s="327"/>
    </row>
    <row r="92" spans="1:12" s="325" customFormat="1" ht="12.75" x14ac:dyDescent="0.2">
      <c r="A92" s="327" t="s">
        <v>303</v>
      </c>
      <c r="B92" s="327" t="s">
        <v>391</v>
      </c>
      <c r="C92" s="328" t="s">
        <v>257</v>
      </c>
      <c r="D92" s="329" t="s">
        <v>258</v>
      </c>
      <c r="E92" s="329" t="s">
        <v>258</v>
      </c>
      <c r="F92" s="329">
        <v>2166.67</v>
      </c>
      <c r="G92" s="363"/>
      <c r="H92" s="330" t="s">
        <v>257</v>
      </c>
      <c r="I92" s="331">
        <v>47500</v>
      </c>
      <c r="J92" s="331" t="s">
        <v>258</v>
      </c>
      <c r="K92" s="331" t="s">
        <v>258</v>
      </c>
      <c r="L92" s="327" t="s">
        <v>355</v>
      </c>
    </row>
    <row r="93" spans="1:12" s="325" customFormat="1" ht="12.75" x14ac:dyDescent="0.2">
      <c r="A93" s="327" t="s">
        <v>303</v>
      </c>
      <c r="B93" s="327" t="s">
        <v>392</v>
      </c>
      <c r="C93" s="328" t="s">
        <v>257</v>
      </c>
      <c r="D93" s="329" t="s">
        <v>258</v>
      </c>
      <c r="E93" s="329" t="s">
        <v>258</v>
      </c>
      <c r="F93" s="329">
        <v>2333.33</v>
      </c>
      <c r="G93" s="363"/>
      <c r="H93" s="330" t="s">
        <v>257</v>
      </c>
      <c r="I93" s="331">
        <v>47500</v>
      </c>
      <c r="J93" s="331" t="s">
        <v>258</v>
      </c>
      <c r="K93" s="331" t="s">
        <v>258</v>
      </c>
      <c r="L93" s="327" t="s">
        <v>355</v>
      </c>
    </row>
    <row r="94" spans="1:12" s="325" customFormat="1" ht="12.75" x14ac:dyDescent="0.2">
      <c r="A94" s="327" t="s">
        <v>303</v>
      </c>
      <c r="B94" s="327" t="s">
        <v>304</v>
      </c>
      <c r="C94" s="328" t="s">
        <v>273</v>
      </c>
      <c r="D94" s="329" t="s">
        <v>258</v>
      </c>
      <c r="E94" s="329" t="s">
        <v>258</v>
      </c>
      <c r="F94" s="329">
        <v>2333.33</v>
      </c>
      <c r="G94" s="363"/>
      <c r="H94" s="330" t="s">
        <v>257</v>
      </c>
      <c r="I94" s="331">
        <v>50000</v>
      </c>
      <c r="J94" s="331" t="s">
        <v>258</v>
      </c>
      <c r="K94" s="331" t="s">
        <v>258</v>
      </c>
      <c r="L94" s="327" t="s">
        <v>355</v>
      </c>
    </row>
    <row r="95" spans="1:12" s="325" customFormat="1" ht="12.75" x14ac:dyDescent="0.2">
      <c r="A95" s="327" t="s">
        <v>303</v>
      </c>
      <c r="B95" s="327" t="s">
        <v>305</v>
      </c>
      <c r="C95" s="328" t="s">
        <v>257</v>
      </c>
      <c r="D95" s="329" t="s">
        <v>258</v>
      </c>
      <c r="E95" s="329" t="s">
        <v>258</v>
      </c>
      <c r="F95" s="329">
        <v>2166.67</v>
      </c>
      <c r="G95" s="363"/>
      <c r="H95" s="330" t="s">
        <v>257</v>
      </c>
      <c r="I95" s="331">
        <v>47500</v>
      </c>
      <c r="J95" s="331" t="s">
        <v>258</v>
      </c>
      <c r="K95" s="331" t="s">
        <v>258</v>
      </c>
      <c r="L95" s="327" t="s">
        <v>355</v>
      </c>
    </row>
    <row r="96" spans="1:12" s="325" customFormat="1" ht="12.75" x14ac:dyDescent="0.2">
      <c r="A96" s="327" t="s">
        <v>306</v>
      </c>
      <c r="B96" s="327" t="s">
        <v>307</v>
      </c>
      <c r="C96" s="328" t="s">
        <v>257</v>
      </c>
      <c r="D96" s="329" t="s">
        <v>258</v>
      </c>
      <c r="E96" s="329" t="s">
        <v>258</v>
      </c>
      <c r="F96" s="329">
        <v>2442.5</v>
      </c>
      <c r="G96" s="363"/>
      <c r="H96" s="330" t="s">
        <v>257</v>
      </c>
      <c r="I96" s="331">
        <v>47500</v>
      </c>
      <c r="J96" s="331" t="s">
        <v>258</v>
      </c>
      <c r="K96" s="331"/>
      <c r="L96" s="327"/>
    </row>
    <row r="97" spans="1:12" s="325" customFormat="1" ht="12.75" x14ac:dyDescent="0.2">
      <c r="A97" s="327" t="s">
        <v>306</v>
      </c>
      <c r="B97" s="327" t="s">
        <v>308</v>
      </c>
      <c r="C97" s="328" t="s">
        <v>257</v>
      </c>
      <c r="D97" s="329" t="s">
        <v>258</v>
      </c>
      <c r="E97" s="329" t="s">
        <v>258</v>
      </c>
      <c r="F97" s="329">
        <v>2411.17</v>
      </c>
      <c r="G97" s="363"/>
      <c r="H97" s="330" t="s">
        <v>273</v>
      </c>
      <c r="I97" s="331">
        <v>37174</v>
      </c>
      <c r="J97" s="331" t="s">
        <v>258</v>
      </c>
      <c r="K97" s="331" t="s">
        <v>440</v>
      </c>
      <c r="L97" s="327" t="s">
        <v>309</v>
      </c>
    </row>
    <row r="98" spans="1:12" s="325" customFormat="1" ht="12.75" x14ac:dyDescent="0.2">
      <c r="A98" s="327" t="s">
        <v>306</v>
      </c>
      <c r="B98" s="327" t="s">
        <v>727</v>
      </c>
      <c r="C98" s="328" t="s">
        <v>273</v>
      </c>
      <c r="D98" s="329" t="s">
        <v>258</v>
      </c>
      <c r="E98" s="329" t="s">
        <v>258</v>
      </c>
      <c r="F98" s="329">
        <v>2512.89</v>
      </c>
      <c r="G98" s="363"/>
      <c r="H98" s="330"/>
      <c r="I98" s="331"/>
      <c r="J98" s="331"/>
      <c r="K98" s="331"/>
      <c r="L98" s="327" t="s">
        <v>729</v>
      </c>
    </row>
    <row r="99" spans="1:12" s="325" customFormat="1" ht="12.75" x14ac:dyDescent="0.2">
      <c r="A99" s="327" t="s">
        <v>306</v>
      </c>
      <c r="B99" s="327" t="s">
        <v>728</v>
      </c>
      <c r="C99" s="328"/>
      <c r="D99" s="329"/>
      <c r="E99" s="329"/>
      <c r="F99" s="329"/>
      <c r="G99" s="363"/>
      <c r="H99" s="330" t="s">
        <v>273</v>
      </c>
      <c r="I99" s="331">
        <v>37174</v>
      </c>
      <c r="J99" s="331" t="s">
        <v>258</v>
      </c>
      <c r="K99" s="331"/>
      <c r="L99" s="327" t="s">
        <v>403</v>
      </c>
    </row>
    <row r="100" spans="1:12" s="325" customFormat="1" ht="12.75" x14ac:dyDescent="0.2">
      <c r="A100" s="327" t="s">
        <v>306</v>
      </c>
      <c r="B100" s="327" t="s">
        <v>401</v>
      </c>
      <c r="C100" s="328" t="s">
        <v>273</v>
      </c>
      <c r="D100" s="329" t="s">
        <v>258</v>
      </c>
      <c r="E100" s="329" t="s">
        <v>258</v>
      </c>
      <c r="F100" s="329">
        <v>2498.25</v>
      </c>
      <c r="G100" s="363"/>
      <c r="H100" s="330" t="s">
        <v>257</v>
      </c>
      <c r="I100" s="331">
        <v>47500</v>
      </c>
      <c r="J100" s="331" t="s">
        <v>258</v>
      </c>
      <c r="K100" s="331"/>
      <c r="L100" s="327" t="s">
        <v>729</v>
      </c>
    </row>
    <row r="101" spans="1:12" s="325" customFormat="1" ht="12.75" x14ac:dyDescent="0.2">
      <c r="A101" s="327" t="s">
        <v>306</v>
      </c>
      <c r="B101" s="327" t="s">
        <v>402</v>
      </c>
      <c r="C101" s="328" t="s">
        <v>273</v>
      </c>
      <c r="D101" s="329" t="s">
        <v>258</v>
      </c>
      <c r="E101" s="329" t="s">
        <v>258</v>
      </c>
      <c r="F101" s="329">
        <v>2536.33</v>
      </c>
      <c r="G101" s="363"/>
      <c r="H101" s="330" t="s">
        <v>257</v>
      </c>
      <c r="I101" s="331">
        <v>47500</v>
      </c>
      <c r="J101" s="331" t="s">
        <v>258</v>
      </c>
      <c r="K101" s="331"/>
      <c r="L101" s="327" t="s">
        <v>729</v>
      </c>
    </row>
    <row r="102" spans="1:12" s="325" customFormat="1" ht="12.75" x14ac:dyDescent="0.2">
      <c r="A102" s="327" t="s">
        <v>306</v>
      </c>
      <c r="B102" s="327" t="s">
        <v>310</v>
      </c>
      <c r="C102" s="328" t="s">
        <v>273</v>
      </c>
      <c r="D102" s="329" t="s">
        <v>258</v>
      </c>
      <c r="E102" s="329" t="s">
        <v>258</v>
      </c>
      <c r="F102" s="329">
        <v>2517.11</v>
      </c>
      <c r="G102" s="363"/>
      <c r="H102" s="330" t="s">
        <v>257</v>
      </c>
      <c r="I102" s="331">
        <v>47500</v>
      </c>
      <c r="J102" s="331" t="s">
        <v>258</v>
      </c>
      <c r="K102" s="331"/>
      <c r="L102" s="327" t="s">
        <v>729</v>
      </c>
    </row>
    <row r="103" spans="1:12" s="325" customFormat="1" ht="12.75" x14ac:dyDescent="0.2">
      <c r="A103" s="327" t="s">
        <v>306</v>
      </c>
      <c r="B103" s="327" t="s">
        <v>311</v>
      </c>
      <c r="C103" s="328" t="s">
        <v>273</v>
      </c>
      <c r="D103" s="329" t="s">
        <v>258</v>
      </c>
      <c r="E103" s="329" t="s">
        <v>258</v>
      </c>
      <c r="F103" s="329">
        <v>2505.89</v>
      </c>
      <c r="G103" s="363"/>
      <c r="H103" s="330" t="s">
        <v>257</v>
      </c>
      <c r="I103" s="331">
        <v>50000</v>
      </c>
      <c r="J103" s="331" t="s">
        <v>258</v>
      </c>
      <c r="K103" s="331" t="s">
        <v>441</v>
      </c>
      <c r="L103" s="327" t="s">
        <v>729</v>
      </c>
    </row>
    <row r="104" spans="1:12" s="325" customFormat="1" ht="12.75" x14ac:dyDescent="0.2">
      <c r="A104" s="327" t="s">
        <v>306</v>
      </c>
      <c r="B104" s="327" t="s">
        <v>312</v>
      </c>
      <c r="C104" s="328" t="s">
        <v>273</v>
      </c>
      <c r="D104" s="329" t="s">
        <v>258</v>
      </c>
      <c r="E104" s="329" t="s">
        <v>258</v>
      </c>
      <c r="F104" s="329">
        <v>2517.11</v>
      </c>
      <c r="G104" s="363"/>
      <c r="H104" s="330" t="s">
        <v>273</v>
      </c>
      <c r="I104" s="331">
        <v>47500</v>
      </c>
      <c r="J104" s="331" t="s">
        <v>258</v>
      </c>
      <c r="K104" s="331"/>
      <c r="L104" s="327" t="s">
        <v>729</v>
      </c>
    </row>
    <row r="105" spans="1:12" s="325" customFormat="1" ht="12.75" x14ac:dyDescent="0.2">
      <c r="A105" s="327" t="s">
        <v>313</v>
      </c>
      <c r="B105" s="327" t="s">
        <v>404</v>
      </c>
      <c r="C105" s="328" t="s">
        <v>257</v>
      </c>
      <c r="D105" s="329">
        <v>2041.67</v>
      </c>
      <c r="E105" s="329">
        <v>2666.67</v>
      </c>
      <c r="F105" s="329" t="s">
        <v>258</v>
      </c>
      <c r="G105" s="363"/>
      <c r="H105" s="330" t="s">
        <v>257</v>
      </c>
      <c r="I105" s="331">
        <v>47500</v>
      </c>
      <c r="J105" s="331" t="s">
        <v>258</v>
      </c>
      <c r="K105" s="331"/>
      <c r="L105" s="327" t="s">
        <v>407</v>
      </c>
    </row>
    <row r="106" spans="1:12" s="325" customFormat="1" ht="12.75" x14ac:dyDescent="0.2">
      <c r="A106" s="327" t="s">
        <v>313</v>
      </c>
      <c r="B106" s="327" t="s">
        <v>405</v>
      </c>
      <c r="C106" s="328" t="s">
        <v>257</v>
      </c>
      <c r="D106" s="329">
        <v>2041.67</v>
      </c>
      <c r="E106" s="329">
        <v>2666.67</v>
      </c>
      <c r="F106" s="329" t="s">
        <v>258</v>
      </c>
      <c r="G106" s="363"/>
      <c r="H106" s="330" t="s">
        <v>257</v>
      </c>
      <c r="I106" s="331">
        <v>47500</v>
      </c>
      <c r="J106" s="331" t="s">
        <v>258</v>
      </c>
      <c r="K106" s="331"/>
      <c r="L106" s="327" t="s">
        <v>407</v>
      </c>
    </row>
    <row r="107" spans="1:12" s="325" customFormat="1" ht="12.75" x14ac:dyDescent="0.2">
      <c r="A107" s="327" t="s">
        <v>313</v>
      </c>
      <c r="B107" s="327" t="s">
        <v>406</v>
      </c>
      <c r="C107" s="328" t="s">
        <v>257</v>
      </c>
      <c r="D107" s="329">
        <v>2041.67</v>
      </c>
      <c r="E107" s="329">
        <v>2666.67</v>
      </c>
      <c r="F107" s="329" t="s">
        <v>258</v>
      </c>
      <c r="G107" s="363"/>
      <c r="H107" s="330" t="s">
        <v>257</v>
      </c>
      <c r="I107" s="331">
        <v>47500</v>
      </c>
      <c r="J107" s="331" t="s">
        <v>258</v>
      </c>
      <c r="K107" s="331"/>
      <c r="L107" s="327" t="s">
        <v>407</v>
      </c>
    </row>
    <row r="108" spans="1:12" s="325" customFormat="1" ht="12.75" x14ac:dyDescent="0.2">
      <c r="A108" s="327" t="s">
        <v>313</v>
      </c>
      <c r="B108" s="327" t="s">
        <v>314</v>
      </c>
      <c r="C108" s="328" t="s">
        <v>257</v>
      </c>
      <c r="D108" s="329">
        <v>2041.67</v>
      </c>
      <c r="E108" s="329" t="s">
        <v>258</v>
      </c>
      <c r="F108" s="329" t="s">
        <v>258</v>
      </c>
      <c r="G108" s="363"/>
      <c r="H108" s="330" t="s">
        <v>257</v>
      </c>
      <c r="I108" s="331">
        <v>47500</v>
      </c>
      <c r="J108" s="331" t="s">
        <v>258</v>
      </c>
      <c r="K108" s="331"/>
      <c r="L108" s="327" t="s">
        <v>407</v>
      </c>
    </row>
    <row r="109" spans="1:12" s="325" customFormat="1" ht="12.75" x14ac:dyDescent="0.2">
      <c r="A109" s="327" t="s">
        <v>313</v>
      </c>
      <c r="B109" s="327" t="s">
        <v>315</v>
      </c>
      <c r="C109" s="328" t="s">
        <v>257</v>
      </c>
      <c r="D109" s="329">
        <v>2041.67</v>
      </c>
      <c r="E109" s="329" t="s">
        <v>258</v>
      </c>
      <c r="F109" s="329" t="s">
        <v>258</v>
      </c>
      <c r="G109" s="363"/>
      <c r="H109" s="330" t="s">
        <v>257</v>
      </c>
      <c r="I109" s="331">
        <v>47500</v>
      </c>
      <c r="J109" s="331" t="s">
        <v>258</v>
      </c>
      <c r="K109" s="331"/>
      <c r="L109" s="327" t="s">
        <v>407</v>
      </c>
    </row>
    <row r="110" spans="1:12" s="325" customFormat="1" ht="12.75" x14ac:dyDescent="0.2">
      <c r="A110" s="327" t="s">
        <v>313</v>
      </c>
      <c r="B110" s="327" t="s">
        <v>316</v>
      </c>
      <c r="C110" s="328" t="s">
        <v>257</v>
      </c>
      <c r="D110" s="329">
        <v>2041.67</v>
      </c>
      <c r="E110" s="329" t="s">
        <v>258</v>
      </c>
      <c r="F110" s="329" t="s">
        <v>258</v>
      </c>
      <c r="G110" s="363"/>
      <c r="H110" s="330" t="s">
        <v>257</v>
      </c>
      <c r="I110" s="331">
        <v>47500</v>
      </c>
      <c r="J110" s="331" t="s">
        <v>258</v>
      </c>
      <c r="K110" s="331"/>
      <c r="L110" s="327" t="s">
        <v>407</v>
      </c>
    </row>
    <row r="111" spans="1:12" s="325" customFormat="1" ht="12.75" x14ac:dyDescent="0.2">
      <c r="A111" s="327" t="s">
        <v>313</v>
      </c>
      <c r="B111" s="327" t="s">
        <v>317</v>
      </c>
      <c r="C111" s="328" t="s">
        <v>257</v>
      </c>
      <c r="D111" s="329">
        <v>2754.174</v>
      </c>
      <c r="E111" s="329" t="s">
        <v>258</v>
      </c>
      <c r="F111" s="329" t="s">
        <v>258</v>
      </c>
      <c r="G111" s="363"/>
      <c r="H111" s="330" t="s">
        <v>257</v>
      </c>
      <c r="I111" s="331">
        <v>47500</v>
      </c>
      <c r="J111" s="331" t="s">
        <v>258</v>
      </c>
      <c r="K111" s="331"/>
      <c r="L111" s="327" t="s">
        <v>407</v>
      </c>
    </row>
    <row r="112" spans="1:12" s="325" customFormat="1" ht="12.75" x14ac:dyDescent="0.2">
      <c r="A112" s="327" t="s">
        <v>313</v>
      </c>
      <c r="B112" s="327" t="s">
        <v>318</v>
      </c>
      <c r="C112" s="328" t="s">
        <v>257</v>
      </c>
      <c r="D112" s="329">
        <v>2795.83</v>
      </c>
      <c r="E112" s="329" t="s">
        <v>258</v>
      </c>
      <c r="F112" s="329" t="s">
        <v>258</v>
      </c>
      <c r="G112" s="363"/>
      <c r="H112" s="330" t="s">
        <v>257</v>
      </c>
      <c r="I112" s="331">
        <v>47500</v>
      </c>
      <c r="J112" s="331" t="s">
        <v>258</v>
      </c>
      <c r="K112" s="331"/>
      <c r="L112" s="327" t="s">
        <v>407</v>
      </c>
    </row>
    <row r="113" spans="1:12" s="325" customFormat="1" ht="12.75" x14ac:dyDescent="0.2">
      <c r="A113" s="327" t="s">
        <v>313</v>
      </c>
      <c r="B113" s="327" t="s">
        <v>319</v>
      </c>
      <c r="C113" s="328" t="s">
        <v>257</v>
      </c>
      <c r="D113" s="329">
        <v>2837.5</v>
      </c>
      <c r="E113" s="329" t="s">
        <v>258</v>
      </c>
      <c r="F113" s="329" t="s">
        <v>258</v>
      </c>
      <c r="G113" s="363"/>
      <c r="H113" s="330" t="s">
        <v>257</v>
      </c>
      <c r="I113" s="331">
        <v>47500</v>
      </c>
      <c r="J113" s="331" t="s">
        <v>258</v>
      </c>
      <c r="K113" s="331"/>
      <c r="L113" s="327" t="s">
        <v>407</v>
      </c>
    </row>
    <row r="114" spans="1:12" s="325" customFormat="1" ht="12.75" x14ac:dyDescent="0.2">
      <c r="A114" s="327" t="s">
        <v>313</v>
      </c>
      <c r="B114" s="327" t="s">
        <v>320</v>
      </c>
      <c r="C114" s="328" t="s">
        <v>257</v>
      </c>
      <c r="D114" s="329">
        <v>2041.67</v>
      </c>
      <c r="E114" s="329" t="s">
        <v>258</v>
      </c>
      <c r="F114" s="329" t="s">
        <v>258</v>
      </c>
      <c r="G114" s="363"/>
      <c r="H114" s="330" t="s">
        <v>257</v>
      </c>
      <c r="I114" s="331">
        <v>47500</v>
      </c>
      <c r="J114" s="331" t="s">
        <v>258</v>
      </c>
      <c r="K114" s="331"/>
      <c r="L114" s="327" t="s">
        <v>407</v>
      </c>
    </row>
    <row r="115" spans="1:12" s="325" customFormat="1" ht="12.75" x14ac:dyDescent="0.2">
      <c r="A115" s="327" t="s">
        <v>321</v>
      </c>
      <c r="B115" s="327" t="s">
        <v>322</v>
      </c>
      <c r="C115" s="332" t="s">
        <v>273</v>
      </c>
      <c r="D115" s="329" t="s">
        <v>258</v>
      </c>
      <c r="E115" s="329" t="s">
        <v>258</v>
      </c>
      <c r="F115" s="329">
        <v>1773.33</v>
      </c>
      <c r="G115" s="363"/>
      <c r="H115" s="330"/>
      <c r="I115" s="331" t="s">
        <v>258</v>
      </c>
      <c r="J115" s="331" t="s">
        <v>258</v>
      </c>
      <c r="K115" s="331"/>
      <c r="L115" s="327"/>
    </row>
    <row r="116" spans="1:12" s="325" customFormat="1" ht="12.75" x14ac:dyDescent="0.2">
      <c r="A116" s="327" t="s">
        <v>321</v>
      </c>
      <c r="B116" s="327" t="s">
        <v>323</v>
      </c>
      <c r="C116" s="332" t="s">
        <v>273</v>
      </c>
      <c r="D116" s="329" t="s">
        <v>258</v>
      </c>
      <c r="E116" s="329" t="s">
        <v>258</v>
      </c>
      <c r="F116" s="329">
        <v>1878.89</v>
      </c>
      <c r="G116" s="363"/>
      <c r="H116" s="330"/>
      <c r="I116" s="331" t="s">
        <v>258</v>
      </c>
      <c r="J116" s="331" t="s">
        <v>258</v>
      </c>
      <c r="K116" s="331"/>
      <c r="L116" s="327"/>
    </row>
    <row r="117" spans="1:12" s="325" customFormat="1" ht="12.75" x14ac:dyDescent="0.2">
      <c r="A117" s="327" t="s">
        <v>321</v>
      </c>
      <c r="B117" s="327" t="s">
        <v>324</v>
      </c>
      <c r="C117" s="332" t="s">
        <v>273</v>
      </c>
      <c r="D117" s="329" t="s">
        <v>258</v>
      </c>
      <c r="E117" s="329" t="s">
        <v>258</v>
      </c>
      <c r="F117" s="329">
        <v>1963.33</v>
      </c>
      <c r="G117" s="363"/>
      <c r="H117" s="330"/>
      <c r="I117" s="331" t="s">
        <v>258</v>
      </c>
      <c r="J117" s="331" t="s">
        <v>258</v>
      </c>
      <c r="K117" s="331"/>
      <c r="L117" s="327"/>
    </row>
    <row r="118" spans="1:12" s="325" customFormat="1" ht="12.75" x14ac:dyDescent="0.2">
      <c r="A118" s="327" t="s">
        <v>321</v>
      </c>
      <c r="B118" s="327" t="s">
        <v>325</v>
      </c>
      <c r="C118" s="332" t="s">
        <v>273</v>
      </c>
      <c r="D118" s="329" t="s">
        <v>258</v>
      </c>
      <c r="E118" s="329" t="s">
        <v>258</v>
      </c>
      <c r="F118" s="329">
        <v>2047.78</v>
      </c>
      <c r="G118" s="363"/>
      <c r="H118" s="330"/>
      <c r="I118" s="331" t="s">
        <v>258</v>
      </c>
      <c r="J118" s="331" t="s">
        <v>258</v>
      </c>
      <c r="K118" s="331"/>
      <c r="L118" s="327"/>
    </row>
    <row r="119" spans="1:12" s="325" customFormat="1" ht="12.75" x14ac:dyDescent="0.2">
      <c r="A119" s="327" t="s">
        <v>321</v>
      </c>
      <c r="B119" s="327" t="s">
        <v>326</v>
      </c>
      <c r="C119" s="332" t="s">
        <v>257</v>
      </c>
      <c r="D119" s="329" t="s">
        <v>258</v>
      </c>
      <c r="E119" s="329" t="s">
        <v>258</v>
      </c>
      <c r="F119" s="329">
        <v>1699.47</v>
      </c>
      <c r="G119" s="363"/>
      <c r="H119" s="330"/>
      <c r="I119" s="331" t="s">
        <v>258</v>
      </c>
      <c r="J119" s="331" t="s">
        <v>258</v>
      </c>
      <c r="K119" s="331"/>
      <c r="L119" s="327"/>
    </row>
    <row r="120" spans="1:12" s="325" customFormat="1" ht="12.75" x14ac:dyDescent="0.2">
      <c r="A120" s="327" t="s">
        <v>321</v>
      </c>
      <c r="B120" s="327" t="s">
        <v>327</v>
      </c>
      <c r="C120" s="332" t="s">
        <v>257</v>
      </c>
      <c r="D120" s="329" t="s">
        <v>258</v>
      </c>
      <c r="E120" s="329" t="s">
        <v>258</v>
      </c>
      <c r="F120" s="329">
        <v>1800.63</v>
      </c>
      <c r="G120" s="363"/>
      <c r="H120" s="330"/>
      <c r="I120" s="331" t="s">
        <v>258</v>
      </c>
      <c r="J120" s="331" t="s">
        <v>258</v>
      </c>
      <c r="K120" s="331"/>
      <c r="L120" s="327"/>
    </row>
    <row r="121" spans="1:12" s="325" customFormat="1" ht="12.75" x14ac:dyDescent="0.2">
      <c r="A121" s="327" t="s">
        <v>321</v>
      </c>
      <c r="B121" s="327" t="s">
        <v>328</v>
      </c>
      <c r="C121" s="332" t="s">
        <v>257</v>
      </c>
      <c r="D121" s="329" t="s">
        <v>258</v>
      </c>
      <c r="E121" s="329" t="s">
        <v>258</v>
      </c>
      <c r="F121" s="329">
        <v>1881.56</v>
      </c>
      <c r="G121" s="363"/>
      <c r="H121" s="330"/>
      <c r="I121" s="331" t="s">
        <v>258</v>
      </c>
      <c r="J121" s="331" t="s">
        <v>258</v>
      </c>
      <c r="K121" s="331"/>
      <c r="L121" s="327"/>
    </row>
    <row r="122" spans="1:12" s="325" customFormat="1" ht="12.75" x14ac:dyDescent="0.2">
      <c r="A122" s="327" t="s">
        <v>321</v>
      </c>
      <c r="B122" s="327" t="s">
        <v>329</v>
      </c>
      <c r="C122" s="332" t="s">
        <v>257</v>
      </c>
      <c r="D122" s="329" t="s">
        <v>258</v>
      </c>
      <c r="E122" s="329" t="s">
        <v>258</v>
      </c>
      <c r="F122" s="329">
        <v>1962.49</v>
      </c>
      <c r="G122" s="363"/>
      <c r="H122" s="330"/>
      <c r="I122" s="331" t="s">
        <v>258</v>
      </c>
      <c r="J122" s="331" t="s">
        <v>258</v>
      </c>
      <c r="K122" s="331"/>
      <c r="L122" s="327"/>
    </row>
    <row r="123" spans="1:12" s="325" customFormat="1" ht="12.75" x14ac:dyDescent="0.2">
      <c r="A123" s="327" t="s">
        <v>321</v>
      </c>
      <c r="B123" s="327" t="s">
        <v>393</v>
      </c>
      <c r="C123" s="328"/>
      <c r="D123" s="329"/>
      <c r="E123" s="329"/>
      <c r="F123" s="329"/>
      <c r="G123" s="363"/>
      <c r="H123" s="330" t="s">
        <v>273</v>
      </c>
      <c r="I123" s="331">
        <v>37174</v>
      </c>
      <c r="J123" s="331" t="s">
        <v>258</v>
      </c>
      <c r="K123" s="331" t="s">
        <v>397</v>
      </c>
      <c r="L123" s="327"/>
    </row>
    <row r="124" spans="1:12" s="325" customFormat="1" ht="12.75" x14ac:dyDescent="0.2">
      <c r="A124" s="327" t="s">
        <v>321</v>
      </c>
      <c r="B124" s="327" t="s">
        <v>394</v>
      </c>
      <c r="C124" s="328"/>
      <c r="D124" s="329"/>
      <c r="E124" s="329"/>
      <c r="F124" s="329"/>
      <c r="G124" s="363"/>
      <c r="H124" s="330" t="s">
        <v>273</v>
      </c>
      <c r="I124" s="331">
        <v>43000</v>
      </c>
      <c r="J124" s="331" t="s">
        <v>258</v>
      </c>
      <c r="K124" s="331" t="s">
        <v>398</v>
      </c>
      <c r="L124" s="327"/>
    </row>
    <row r="125" spans="1:12" s="325" customFormat="1" ht="12.75" x14ac:dyDescent="0.2">
      <c r="A125" s="327" t="s">
        <v>321</v>
      </c>
      <c r="B125" s="327" t="s">
        <v>395</v>
      </c>
      <c r="C125" s="328"/>
      <c r="D125" s="329"/>
      <c r="E125" s="329"/>
      <c r="F125" s="329"/>
      <c r="G125" s="363"/>
      <c r="H125" s="330" t="s">
        <v>257</v>
      </c>
      <c r="I125" s="331">
        <v>47500</v>
      </c>
      <c r="J125" s="331" t="s">
        <v>258</v>
      </c>
      <c r="K125" s="331" t="s">
        <v>399</v>
      </c>
      <c r="L125" s="327"/>
    </row>
    <row r="126" spans="1:12" x14ac:dyDescent="0.25">
      <c r="A126" s="327" t="s">
        <v>321</v>
      </c>
      <c r="B126" s="327" t="s">
        <v>396</v>
      </c>
      <c r="C126" s="328"/>
      <c r="D126" s="329"/>
      <c r="E126" s="329"/>
      <c r="F126" s="329"/>
      <c r="G126" s="363"/>
      <c r="H126" s="330" t="s">
        <v>257</v>
      </c>
      <c r="I126" s="331">
        <v>55000</v>
      </c>
      <c r="J126" s="331" t="s">
        <v>258</v>
      </c>
      <c r="K126" s="365" t="s">
        <v>400</v>
      </c>
      <c r="L126" s="333"/>
    </row>
    <row r="127" spans="1:12" x14ac:dyDescent="0.25">
      <c r="A127" s="325" t="s">
        <v>266</v>
      </c>
      <c r="B127" s="325" t="s">
        <v>737</v>
      </c>
      <c r="C127" s="1053" t="s">
        <v>257</v>
      </c>
      <c r="D127" s="1054">
        <v>2208.33</v>
      </c>
      <c r="E127" s="1054" t="s">
        <v>258</v>
      </c>
      <c r="F127" s="1054" t="s">
        <v>258</v>
      </c>
      <c r="G127" s="1052"/>
      <c r="H127" s="1056" t="s">
        <v>738</v>
      </c>
      <c r="I127" s="1055">
        <v>47500</v>
      </c>
      <c r="J127" s="1055" t="s">
        <v>258</v>
      </c>
      <c r="K127" s="1055" t="s">
        <v>258</v>
      </c>
      <c r="L127" s="1057" t="s">
        <v>355</v>
      </c>
    </row>
    <row r="128" spans="1:12" x14ac:dyDescent="0.25">
      <c r="A128" s="327" t="s">
        <v>256</v>
      </c>
      <c r="B128" s="327" t="s">
        <v>740</v>
      </c>
      <c r="C128" s="328" t="s">
        <v>257</v>
      </c>
      <c r="D128" s="329" t="s">
        <v>258</v>
      </c>
      <c r="E128" s="329" t="s">
        <v>258</v>
      </c>
      <c r="F128" s="329">
        <v>2500</v>
      </c>
      <c r="G128" s="367"/>
      <c r="H128" s="330" t="s">
        <v>257</v>
      </c>
      <c r="I128" s="331">
        <v>47500</v>
      </c>
      <c r="J128" s="331" t="s">
        <v>258</v>
      </c>
      <c r="K128" s="331">
        <v>60000</v>
      </c>
      <c r="L128" s="327" t="s">
        <v>334</v>
      </c>
    </row>
    <row r="129" spans="1:12" x14ac:dyDescent="0.25">
      <c r="A129" s="327" t="s">
        <v>256</v>
      </c>
      <c r="B129" s="327" t="s">
        <v>741</v>
      </c>
      <c r="C129" s="328" t="s">
        <v>257</v>
      </c>
      <c r="D129" s="329" t="s">
        <v>258</v>
      </c>
      <c r="E129" s="329" t="s">
        <v>258</v>
      </c>
      <c r="F129" s="329">
        <v>2500</v>
      </c>
      <c r="G129" s="363"/>
      <c r="H129" s="330" t="s">
        <v>257</v>
      </c>
      <c r="I129" s="331">
        <v>47500</v>
      </c>
      <c r="J129" s="331" t="s">
        <v>258</v>
      </c>
      <c r="K129" s="331" t="s">
        <v>258</v>
      </c>
      <c r="L129" s="327" t="s">
        <v>334</v>
      </c>
    </row>
    <row r="130" spans="1:12" x14ac:dyDescent="0.25">
      <c r="A130" s="327" t="s">
        <v>256</v>
      </c>
      <c r="B130" s="327" t="s">
        <v>744</v>
      </c>
      <c r="C130" s="328" t="s">
        <v>257</v>
      </c>
      <c r="D130" s="329" t="s">
        <v>258</v>
      </c>
      <c r="E130" s="329" t="s">
        <v>258</v>
      </c>
      <c r="F130" s="329">
        <v>2500</v>
      </c>
      <c r="G130" s="363"/>
      <c r="H130" s="330" t="s">
        <v>257</v>
      </c>
      <c r="I130" s="331">
        <v>47500</v>
      </c>
      <c r="J130" s="331" t="s">
        <v>258</v>
      </c>
      <c r="K130" s="331" t="s">
        <v>258</v>
      </c>
      <c r="L130" s="327" t="s">
        <v>334</v>
      </c>
    </row>
    <row r="131" spans="1:12" x14ac:dyDescent="0.25">
      <c r="A131" s="327" t="s">
        <v>256</v>
      </c>
      <c r="B131" s="327" t="s">
        <v>746</v>
      </c>
      <c r="C131" s="328" t="s">
        <v>257</v>
      </c>
      <c r="D131" s="329" t="s">
        <v>258</v>
      </c>
      <c r="E131" s="329" t="s">
        <v>258</v>
      </c>
      <c r="F131" s="329">
        <v>2166.67</v>
      </c>
      <c r="G131" s="363"/>
      <c r="H131" s="330" t="s">
        <v>257</v>
      </c>
      <c r="I131" s="331">
        <v>47500</v>
      </c>
      <c r="J131" s="331" t="s">
        <v>258</v>
      </c>
      <c r="K131" s="331" t="s">
        <v>258</v>
      </c>
      <c r="L131" s="327" t="s">
        <v>334</v>
      </c>
    </row>
    <row r="132" spans="1:12" x14ac:dyDescent="0.25">
      <c r="A132" s="327" t="s">
        <v>256</v>
      </c>
      <c r="B132" s="327" t="s">
        <v>748</v>
      </c>
      <c r="C132" s="328" t="s">
        <v>257</v>
      </c>
      <c r="D132" s="329" t="s">
        <v>258</v>
      </c>
      <c r="E132" s="329" t="s">
        <v>258</v>
      </c>
      <c r="F132" s="329">
        <v>2500</v>
      </c>
      <c r="G132" s="363"/>
      <c r="H132" s="330" t="s">
        <v>257</v>
      </c>
      <c r="I132" s="331">
        <v>47500</v>
      </c>
      <c r="J132" s="331" t="s">
        <v>258</v>
      </c>
      <c r="K132" s="331" t="s">
        <v>258</v>
      </c>
      <c r="L132" s="327" t="s">
        <v>334</v>
      </c>
    </row>
  </sheetData>
  <sheetProtection algorithmName="SHA-512" hashValue="ArBVvSvt7+VlosL69B1s1qxlu61aQl8pkk1GQbwyF8yWi2iOVDK75C2jtc0mfTpbGVtMh+yelk7bL4hLYRAumQ==" saltValue="/2cTjzXYxC4wzY9kDpwGTw==" spinCount="100000" sheet="1" sort="0" autoFilter="0"/>
  <protectedRanges>
    <protectedRange sqref="A8:B8" name="AllowSortFilter_1"/>
  </protectedRanges>
  <autoFilter ref="A8:B132" xr:uid="{00000000-0009-0000-0000-00000B000000}"/>
  <mergeCells count="6">
    <mergeCell ref="C6:E6"/>
    <mergeCell ref="H6:J6"/>
    <mergeCell ref="D7:E7"/>
    <mergeCell ref="I7:J7"/>
    <mergeCell ref="E1:L1"/>
    <mergeCell ref="E2:L2"/>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AY114"/>
  <sheetViews>
    <sheetView topLeftCell="D1" zoomScale="75" zoomScaleNormal="75" workbookViewId="0">
      <selection activeCell="P9" sqref="P9"/>
    </sheetView>
  </sheetViews>
  <sheetFormatPr defaultRowHeight="15" x14ac:dyDescent="0.25"/>
  <cols>
    <col min="1" max="1" width="15.140625" bestFit="1" customWidth="1"/>
    <col min="2" max="2" width="13" bestFit="1" customWidth="1"/>
    <col min="3" max="13" width="12.85546875" customWidth="1"/>
    <col min="15" max="15" width="18.42578125" customWidth="1"/>
    <col min="16" max="16" width="12" bestFit="1" customWidth="1"/>
    <col min="17" max="17" width="8.28515625" customWidth="1"/>
    <col min="18" max="18" width="7" bestFit="1" customWidth="1"/>
    <col min="19" max="19" width="19.140625" bestFit="1" customWidth="1"/>
    <col min="20" max="20" width="14.42578125" bestFit="1" customWidth="1"/>
    <col min="25" max="25" width="18.7109375" customWidth="1"/>
  </cols>
  <sheetData>
    <row r="1" spans="1:46" x14ac:dyDescent="0.25">
      <c r="A1" s="105" t="s">
        <v>24</v>
      </c>
      <c r="B1" s="105">
        <v>9</v>
      </c>
      <c r="C1" s="109">
        <f>(VLOOKUP(PersonCalcYr1!B9,'Rate Tables'!$S$3:$T$9,2,FALSE))</f>
        <v>1.03</v>
      </c>
      <c r="D1" s="105">
        <f>_xlfn.IFNA(C1,1)</f>
        <v>1.03</v>
      </c>
      <c r="E1" s="105">
        <f>IF(D1=1,1,C1)</f>
        <v>1.03</v>
      </c>
      <c r="F1" s="105"/>
      <c r="G1" s="105"/>
      <c r="H1" s="105"/>
      <c r="I1" s="105"/>
      <c r="J1" s="105"/>
      <c r="K1" s="105"/>
      <c r="L1" s="105"/>
      <c r="M1" s="105"/>
      <c r="O1" s="37" t="s">
        <v>113</v>
      </c>
      <c r="P1" s="134">
        <v>44806</v>
      </c>
      <c r="S1" s="97" t="s">
        <v>97</v>
      </c>
      <c r="T1" s="98"/>
    </row>
    <row r="2" spans="1:46" x14ac:dyDescent="0.25">
      <c r="A2" s="105" t="s">
        <v>27</v>
      </c>
      <c r="B2" s="105"/>
      <c r="C2" s="107"/>
      <c r="D2" s="105"/>
      <c r="E2" s="105"/>
      <c r="F2" s="105"/>
      <c r="G2" s="105"/>
      <c r="H2" s="105"/>
      <c r="I2" s="105"/>
      <c r="J2" s="105"/>
      <c r="K2" s="105"/>
      <c r="L2" s="105"/>
      <c r="M2" s="105"/>
      <c r="O2" s="32" t="s">
        <v>54</v>
      </c>
      <c r="P2" s="11">
        <v>0.2697</v>
      </c>
      <c r="Q2" s="1"/>
      <c r="R2" s="1"/>
      <c r="S2" s="98"/>
      <c r="T2" s="98"/>
    </row>
    <row r="3" spans="1:46" x14ac:dyDescent="0.25">
      <c r="A3" s="106" t="s">
        <v>579</v>
      </c>
      <c r="B3" s="106" t="s">
        <v>12</v>
      </c>
      <c r="C3" s="106" t="s">
        <v>342</v>
      </c>
      <c r="D3" s="106" t="s">
        <v>343</v>
      </c>
      <c r="E3" s="106" t="s">
        <v>344</v>
      </c>
      <c r="F3" s="106" t="s">
        <v>345</v>
      </c>
      <c r="G3" s="106" t="s">
        <v>346</v>
      </c>
      <c r="H3" s="106" t="s">
        <v>347</v>
      </c>
      <c r="I3" s="106" t="s">
        <v>348</v>
      </c>
      <c r="J3" s="106" t="s">
        <v>352</v>
      </c>
      <c r="K3" s="106" t="s">
        <v>349</v>
      </c>
      <c r="L3" s="106" t="s">
        <v>350</v>
      </c>
      <c r="M3" s="106" t="s">
        <v>351</v>
      </c>
      <c r="O3" s="32" t="s">
        <v>55</v>
      </c>
      <c r="P3" s="11">
        <v>0.28510000000000002</v>
      </c>
      <c r="Q3" s="3"/>
      <c r="S3" s="98" t="s">
        <v>54</v>
      </c>
      <c r="T3" s="99">
        <v>1.03</v>
      </c>
      <c r="X3" s="3"/>
    </row>
    <row r="4" spans="1:46" x14ac:dyDescent="0.25">
      <c r="A4" s="107">
        <f>PersonCalcYr1!C9</f>
        <v>0</v>
      </c>
      <c r="B4" s="108">
        <f>A4/B1</f>
        <v>0</v>
      </c>
      <c r="C4" s="108">
        <f>B4</f>
        <v>0</v>
      </c>
      <c r="D4" s="108">
        <f>C4*$E1</f>
        <v>0</v>
      </c>
      <c r="E4" s="108">
        <f t="shared" ref="E4:M4" si="0">D4*$E1</f>
        <v>0</v>
      </c>
      <c r="F4" s="108">
        <f t="shared" si="0"/>
        <v>0</v>
      </c>
      <c r="G4" s="108">
        <f t="shared" si="0"/>
        <v>0</v>
      </c>
      <c r="H4" s="108">
        <f t="shared" si="0"/>
        <v>0</v>
      </c>
      <c r="I4" s="108">
        <f t="shared" si="0"/>
        <v>0</v>
      </c>
      <c r="J4" s="108">
        <f t="shared" si="0"/>
        <v>0</v>
      </c>
      <c r="K4" s="108">
        <f t="shared" si="0"/>
        <v>0</v>
      </c>
      <c r="L4" s="108">
        <f t="shared" si="0"/>
        <v>0</v>
      </c>
      <c r="M4" s="108">
        <f t="shared" si="0"/>
        <v>0</v>
      </c>
      <c r="O4" s="32" t="s">
        <v>532</v>
      </c>
      <c r="P4" s="11">
        <v>0.3226</v>
      </c>
      <c r="S4" s="98" t="s">
        <v>55</v>
      </c>
      <c r="T4" s="99">
        <v>1.02</v>
      </c>
    </row>
    <row r="5" spans="1:46" x14ac:dyDescent="0.25">
      <c r="A5" s="105"/>
      <c r="B5" s="105"/>
      <c r="C5" s="105"/>
      <c r="D5" s="105"/>
      <c r="E5" s="105"/>
      <c r="F5" s="105"/>
      <c r="G5" s="105"/>
      <c r="H5" s="105"/>
      <c r="I5" s="105"/>
      <c r="J5" s="105"/>
      <c r="K5" s="105"/>
      <c r="L5" s="105"/>
      <c r="M5" s="105"/>
      <c r="O5" s="32" t="s">
        <v>57</v>
      </c>
      <c r="P5" s="11">
        <v>0.50219999999999998</v>
      </c>
      <c r="S5" s="98" t="s">
        <v>56</v>
      </c>
      <c r="T5" s="99">
        <v>1.02</v>
      </c>
    </row>
    <row r="6" spans="1:46" x14ac:dyDescent="0.25">
      <c r="A6" s="105" t="s">
        <v>24</v>
      </c>
      <c r="B6" s="105">
        <v>9</v>
      </c>
      <c r="C6" s="109">
        <f>VLOOKUP(PersonCalcYr1!B25,'Rate Tables'!$S$3:$T$9,2,FALSE)</f>
        <v>1.03</v>
      </c>
      <c r="D6" s="105">
        <f>_xlfn.IFNA(C6,1)</f>
        <v>1.03</v>
      </c>
      <c r="E6" s="105">
        <f>IF(D6=1,1,C6)</f>
        <v>1.03</v>
      </c>
      <c r="F6" s="105"/>
      <c r="G6" s="105"/>
      <c r="H6" s="105"/>
      <c r="I6" s="105"/>
      <c r="J6" s="105"/>
      <c r="K6" s="105"/>
      <c r="L6" s="105"/>
      <c r="M6" s="105"/>
      <c r="O6" s="32" t="s">
        <v>535</v>
      </c>
      <c r="P6" s="11">
        <v>0.51429999999999998</v>
      </c>
      <c r="S6" s="98" t="s">
        <v>532</v>
      </c>
      <c r="T6" s="99">
        <v>1.0249999999999999</v>
      </c>
      <c r="AT6" s="5"/>
    </row>
    <row r="7" spans="1:46" x14ac:dyDescent="0.25">
      <c r="A7" s="105" t="s">
        <v>46</v>
      </c>
      <c r="B7" s="105"/>
      <c r="C7" s="107"/>
      <c r="D7" s="105"/>
      <c r="E7" s="105"/>
      <c r="F7" s="105"/>
      <c r="G7" s="105"/>
      <c r="H7" s="105"/>
      <c r="I7" s="105"/>
      <c r="J7" s="105"/>
      <c r="K7" s="105"/>
      <c r="L7" s="105"/>
      <c r="M7" s="105"/>
      <c r="O7" s="32" t="s">
        <v>58</v>
      </c>
      <c r="P7" s="11">
        <v>8.2600000000000007E-2</v>
      </c>
      <c r="S7" s="98" t="s">
        <v>57</v>
      </c>
      <c r="T7" s="99">
        <v>1.02</v>
      </c>
    </row>
    <row r="8" spans="1:46" x14ac:dyDescent="0.25">
      <c r="A8" s="106" t="s">
        <v>341</v>
      </c>
      <c r="B8" s="106" t="s">
        <v>12</v>
      </c>
      <c r="C8" s="106" t="s">
        <v>342</v>
      </c>
      <c r="D8" s="106" t="s">
        <v>343</v>
      </c>
      <c r="E8" s="106" t="s">
        <v>344</v>
      </c>
      <c r="F8" s="106" t="s">
        <v>345</v>
      </c>
      <c r="G8" s="106" t="s">
        <v>346</v>
      </c>
      <c r="H8" s="106" t="s">
        <v>347</v>
      </c>
      <c r="I8" s="106" t="s">
        <v>348</v>
      </c>
      <c r="J8" s="106" t="s">
        <v>352</v>
      </c>
      <c r="K8" s="106" t="s">
        <v>349</v>
      </c>
      <c r="L8" s="106" t="s">
        <v>350</v>
      </c>
      <c r="M8" s="106" t="s">
        <v>351</v>
      </c>
      <c r="O8" s="32" t="s">
        <v>56</v>
      </c>
      <c r="P8" s="11">
        <v>7.4099999999999999E-2</v>
      </c>
      <c r="S8" s="98" t="s">
        <v>58</v>
      </c>
      <c r="T8" s="99">
        <v>1.02</v>
      </c>
    </row>
    <row r="9" spans="1:46" x14ac:dyDescent="0.25">
      <c r="A9" s="107">
        <f>PersonCalcYr1!C25</f>
        <v>0</v>
      </c>
      <c r="B9" s="108">
        <f>A9/B6</f>
        <v>0</v>
      </c>
      <c r="C9" s="108">
        <f>B9</f>
        <v>0</v>
      </c>
      <c r="D9" s="108">
        <f t="shared" ref="D9:M9" si="1">C9*$E6</f>
        <v>0</v>
      </c>
      <c r="E9" s="108">
        <f t="shared" si="1"/>
        <v>0</v>
      </c>
      <c r="F9" s="108">
        <f t="shared" si="1"/>
        <v>0</v>
      </c>
      <c r="G9" s="108">
        <f t="shared" si="1"/>
        <v>0</v>
      </c>
      <c r="H9" s="108">
        <f t="shared" si="1"/>
        <v>0</v>
      </c>
      <c r="I9" s="108">
        <f t="shared" si="1"/>
        <v>0</v>
      </c>
      <c r="J9" s="108">
        <f t="shared" si="1"/>
        <v>0</v>
      </c>
      <c r="K9" s="108">
        <f t="shared" si="1"/>
        <v>0</v>
      </c>
      <c r="L9" s="108">
        <f t="shared" si="1"/>
        <v>0</v>
      </c>
      <c r="M9" s="108">
        <f t="shared" si="1"/>
        <v>0</v>
      </c>
      <c r="O9" s="31"/>
      <c r="P9" s="31"/>
      <c r="S9" s="98" t="s">
        <v>535</v>
      </c>
      <c r="T9" s="99">
        <v>1.02</v>
      </c>
    </row>
    <row r="10" spans="1:46" x14ac:dyDescent="0.25">
      <c r="A10" s="105"/>
      <c r="B10" s="105"/>
      <c r="C10" s="105"/>
      <c r="D10" s="105"/>
      <c r="E10" s="105"/>
      <c r="F10" s="105"/>
      <c r="G10" s="105"/>
      <c r="H10" s="105"/>
      <c r="I10" s="105"/>
      <c r="J10" s="105"/>
      <c r="K10" s="105"/>
      <c r="L10" s="105"/>
      <c r="M10" s="105"/>
      <c r="O10" s="31"/>
      <c r="P10" s="31"/>
    </row>
    <row r="11" spans="1:46" x14ac:dyDescent="0.25">
      <c r="A11" s="105" t="s">
        <v>24</v>
      </c>
      <c r="B11" s="105">
        <v>9</v>
      </c>
      <c r="C11" s="109">
        <f>VLOOKUP(PersonCalcYr1!B41,'Rate Tables'!$S$3:$T$9,2,FALSE)</f>
        <v>1.03</v>
      </c>
      <c r="D11" s="105">
        <f>_xlfn.IFNA(C11,1)</f>
        <v>1.03</v>
      </c>
      <c r="E11" s="105">
        <f>IF(D11=1,1,C11)</f>
        <v>1.03</v>
      </c>
      <c r="F11" s="105"/>
      <c r="G11" s="105"/>
      <c r="H11" s="105"/>
      <c r="I11" s="105"/>
      <c r="J11" s="105"/>
      <c r="K11" s="105"/>
      <c r="L11" s="105"/>
      <c r="M11" s="105"/>
      <c r="O11" s="31"/>
      <c r="P11" s="31"/>
    </row>
    <row r="12" spans="1:46" x14ac:dyDescent="0.25">
      <c r="A12" s="105" t="s">
        <v>47</v>
      </c>
      <c r="B12" s="105"/>
      <c r="C12" s="107"/>
      <c r="D12" s="105"/>
      <c r="E12" s="105"/>
      <c r="F12" s="105"/>
      <c r="G12" s="105"/>
      <c r="H12" s="105"/>
      <c r="I12" s="105"/>
      <c r="J12" s="105"/>
      <c r="K12" s="105"/>
      <c r="L12" s="105"/>
      <c r="M12" s="105"/>
    </row>
    <row r="13" spans="1:46" x14ac:dyDescent="0.25">
      <c r="A13" s="106" t="s">
        <v>341</v>
      </c>
      <c r="B13" s="106" t="s">
        <v>12</v>
      </c>
      <c r="C13" s="106" t="s">
        <v>342</v>
      </c>
      <c r="D13" s="106" t="s">
        <v>343</v>
      </c>
      <c r="E13" s="106" t="s">
        <v>344</v>
      </c>
      <c r="F13" s="106" t="s">
        <v>345</v>
      </c>
      <c r="G13" s="106" t="s">
        <v>346</v>
      </c>
      <c r="H13" s="106" t="s">
        <v>347</v>
      </c>
      <c r="I13" s="106" t="s">
        <v>348</v>
      </c>
      <c r="J13" s="106" t="s">
        <v>352</v>
      </c>
      <c r="K13" s="106" t="s">
        <v>349</v>
      </c>
      <c r="L13" s="106" t="s">
        <v>350</v>
      </c>
      <c r="M13" s="106" t="s">
        <v>351</v>
      </c>
    </row>
    <row r="14" spans="1:46" x14ac:dyDescent="0.25">
      <c r="A14" s="107">
        <f>PersonCalcYr1!C41</f>
        <v>0</v>
      </c>
      <c r="B14" s="108">
        <f>A14/B11</f>
        <v>0</v>
      </c>
      <c r="C14" s="108">
        <f>B14</f>
        <v>0</v>
      </c>
      <c r="D14" s="108">
        <f t="shared" ref="D14:M14" si="2">C14*$E11</f>
        <v>0</v>
      </c>
      <c r="E14" s="108">
        <f t="shared" si="2"/>
        <v>0</v>
      </c>
      <c r="F14" s="108">
        <f t="shared" si="2"/>
        <v>0</v>
      </c>
      <c r="G14" s="108">
        <f t="shared" si="2"/>
        <v>0</v>
      </c>
      <c r="H14" s="108">
        <f t="shared" si="2"/>
        <v>0</v>
      </c>
      <c r="I14" s="108">
        <f t="shared" si="2"/>
        <v>0</v>
      </c>
      <c r="J14" s="108">
        <f t="shared" si="2"/>
        <v>0</v>
      </c>
      <c r="K14" s="108">
        <f t="shared" si="2"/>
        <v>0</v>
      </c>
      <c r="L14" s="108">
        <f t="shared" si="2"/>
        <v>0</v>
      </c>
      <c r="M14" s="108">
        <f t="shared" si="2"/>
        <v>0</v>
      </c>
    </row>
    <row r="15" spans="1:46" x14ac:dyDescent="0.25">
      <c r="A15" s="105"/>
      <c r="B15" s="105"/>
      <c r="C15" s="105"/>
      <c r="D15" s="105"/>
      <c r="E15" s="105"/>
      <c r="F15" s="105"/>
      <c r="G15" s="105"/>
      <c r="H15" s="105"/>
      <c r="I15" s="105"/>
      <c r="J15" s="105"/>
      <c r="K15" s="105"/>
      <c r="L15" s="105"/>
      <c r="M15" s="105"/>
      <c r="O15" t="s">
        <v>726</v>
      </c>
      <c r="P15" s="133">
        <v>44132</v>
      </c>
    </row>
    <row r="16" spans="1:46" ht="29.25" customHeight="1" x14ac:dyDescent="0.25">
      <c r="A16" s="105" t="s">
        <v>24</v>
      </c>
      <c r="B16" s="105">
        <v>9</v>
      </c>
      <c r="C16" s="109">
        <f>VLOOKUP(PersonCalcYr1!B57,'Rate Tables'!$S$3:$T$9,2,FALSE)</f>
        <v>1.03</v>
      </c>
      <c r="D16" s="105">
        <f>_xlfn.IFNA(C16,1)</f>
        <v>1.03</v>
      </c>
      <c r="E16" s="105">
        <f>IF(D16=1,1,C16)</f>
        <v>1.03</v>
      </c>
      <c r="F16" s="105"/>
      <c r="G16" s="105"/>
      <c r="H16" s="105"/>
      <c r="I16" s="105"/>
      <c r="J16" s="105"/>
      <c r="K16" s="105"/>
      <c r="L16" s="105"/>
      <c r="M16" s="105"/>
      <c r="O16" s="132" t="s">
        <v>177</v>
      </c>
      <c r="P16" s="133" t="s">
        <v>178</v>
      </c>
      <c r="V16" s="2"/>
    </row>
    <row r="17" spans="1:51" x14ac:dyDescent="0.25">
      <c r="A17" s="105" t="s">
        <v>48</v>
      </c>
      <c r="B17" s="105"/>
      <c r="C17" s="107"/>
      <c r="D17" s="105"/>
      <c r="E17" s="105"/>
      <c r="F17" s="105"/>
      <c r="G17" s="105"/>
      <c r="H17" s="105"/>
      <c r="I17" s="105"/>
      <c r="J17" s="105"/>
      <c r="K17" s="105"/>
      <c r="L17" s="105"/>
      <c r="M17" s="105"/>
      <c r="O17" s="31">
        <v>2021</v>
      </c>
      <c r="P17" s="130">
        <v>910</v>
      </c>
      <c r="Q17" s="131">
        <v>933.34</v>
      </c>
      <c r="R17" s="1"/>
      <c r="S17" s="1"/>
      <c r="T17" s="223"/>
      <c r="W17" s="1"/>
      <c r="X17" s="1"/>
    </row>
    <row r="18" spans="1:51" x14ac:dyDescent="0.25">
      <c r="A18" s="106" t="s">
        <v>341</v>
      </c>
      <c r="B18" s="106" t="s">
        <v>12</v>
      </c>
      <c r="C18" s="106" t="s">
        <v>342</v>
      </c>
      <c r="D18" s="106" t="s">
        <v>343</v>
      </c>
      <c r="E18" s="106" t="s">
        <v>344</v>
      </c>
      <c r="F18" s="106" t="s">
        <v>345</v>
      </c>
      <c r="G18" s="106" t="s">
        <v>346</v>
      </c>
      <c r="H18" s="106" t="s">
        <v>347</v>
      </c>
      <c r="I18" s="106" t="s">
        <v>348</v>
      </c>
      <c r="J18" s="106" t="s">
        <v>352</v>
      </c>
      <c r="K18" s="106" t="s">
        <v>349</v>
      </c>
      <c r="L18" s="106" t="s">
        <v>350</v>
      </c>
      <c r="M18" s="106" t="s">
        <v>351</v>
      </c>
      <c r="O18">
        <v>2022</v>
      </c>
      <c r="P18" s="131">
        <v>910</v>
      </c>
      <c r="Q18" s="131">
        <v>933.34</v>
      </c>
      <c r="R18" s="1"/>
      <c r="S18" s="1"/>
      <c r="T18" s="223"/>
      <c r="W18" s="4"/>
      <c r="X18" s="4"/>
    </row>
    <row r="19" spans="1:51" x14ac:dyDescent="0.25">
      <c r="A19" s="107">
        <f>PersonCalcYr1!C57</f>
        <v>0</v>
      </c>
      <c r="B19" s="108">
        <f>A19/B16</f>
        <v>0</v>
      </c>
      <c r="C19" s="108">
        <f>B19</f>
        <v>0</v>
      </c>
      <c r="D19" s="108">
        <f t="shared" ref="D19:M19" si="3">C19*$E16</f>
        <v>0</v>
      </c>
      <c r="E19" s="108">
        <f t="shared" si="3"/>
        <v>0</v>
      </c>
      <c r="F19" s="108">
        <f t="shared" si="3"/>
        <v>0</v>
      </c>
      <c r="G19" s="108">
        <f t="shared" si="3"/>
        <v>0</v>
      </c>
      <c r="H19" s="108">
        <f t="shared" si="3"/>
        <v>0</v>
      </c>
      <c r="I19" s="108">
        <f t="shared" si="3"/>
        <v>0</v>
      </c>
      <c r="J19" s="108">
        <f t="shared" si="3"/>
        <v>0</v>
      </c>
      <c r="K19" s="108">
        <f t="shared" si="3"/>
        <v>0</v>
      </c>
      <c r="L19" s="108">
        <f t="shared" si="3"/>
        <v>0</v>
      </c>
      <c r="M19" s="108">
        <f t="shared" si="3"/>
        <v>0</v>
      </c>
      <c r="O19">
        <v>2023</v>
      </c>
      <c r="P19" s="131">
        <v>910</v>
      </c>
      <c r="Q19" s="131">
        <v>933.34</v>
      </c>
      <c r="R19" s="1"/>
      <c r="S19" s="1"/>
      <c r="T19" s="223"/>
      <c r="W19" s="4"/>
      <c r="X19" s="4"/>
    </row>
    <row r="20" spans="1:51" x14ac:dyDescent="0.25">
      <c r="A20" s="105"/>
      <c r="B20" s="105"/>
      <c r="C20" s="105"/>
      <c r="D20" s="105"/>
      <c r="E20" s="105"/>
      <c r="F20" s="105"/>
      <c r="G20" s="105"/>
      <c r="H20" s="105"/>
      <c r="I20" s="105"/>
      <c r="J20" s="105"/>
      <c r="K20" s="105"/>
      <c r="L20" s="105"/>
      <c r="M20" s="105"/>
      <c r="O20">
        <v>2024</v>
      </c>
      <c r="P20" s="131">
        <v>928.2</v>
      </c>
      <c r="Q20" s="131">
        <v>952</v>
      </c>
      <c r="R20" s="1"/>
      <c r="S20" s="1"/>
      <c r="T20" s="223"/>
      <c r="W20" s="4"/>
      <c r="X20" s="4"/>
    </row>
    <row r="21" spans="1:51" x14ac:dyDescent="0.25">
      <c r="A21" s="105" t="s">
        <v>24</v>
      </c>
      <c r="B21" s="105">
        <v>9</v>
      </c>
      <c r="C21" s="109">
        <f>VLOOKUP(PersonCalcYr1!B73,'Rate Tables'!$S$3:$T$9,2,FALSE)</f>
        <v>1.03</v>
      </c>
      <c r="D21" s="105">
        <f>_xlfn.IFNA(C21,1)</f>
        <v>1.03</v>
      </c>
      <c r="E21" s="105">
        <f>IF(D21=1,1,C21)</f>
        <v>1.03</v>
      </c>
      <c r="F21" s="105"/>
      <c r="G21" s="105"/>
      <c r="H21" s="105"/>
      <c r="I21" s="105"/>
      <c r="J21" s="105"/>
      <c r="K21" s="105"/>
      <c r="L21" s="105"/>
      <c r="M21" s="105"/>
      <c r="O21">
        <v>2025</v>
      </c>
      <c r="P21" s="131">
        <v>946.76</v>
      </c>
      <c r="Q21" s="131">
        <v>971.04</v>
      </c>
      <c r="R21" s="1"/>
      <c r="S21" s="1"/>
      <c r="T21" s="223"/>
      <c r="W21" s="4"/>
      <c r="X21" s="4"/>
      <c r="AT21" s="1"/>
      <c r="AU21" s="1"/>
      <c r="AV21" s="1"/>
      <c r="AW21" s="1"/>
      <c r="AX21" s="1"/>
      <c r="AY21" s="1"/>
    </row>
    <row r="22" spans="1:51" x14ac:dyDescent="0.25">
      <c r="A22" s="105" t="s">
        <v>49</v>
      </c>
      <c r="B22" s="105"/>
      <c r="C22" s="107"/>
      <c r="D22" s="105"/>
      <c r="E22" s="105"/>
      <c r="F22" s="105"/>
      <c r="G22" s="105"/>
      <c r="H22" s="105"/>
      <c r="I22" s="105"/>
      <c r="J22" s="105"/>
      <c r="K22" s="105"/>
      <c r="L22" s="105"/>
      <c r="M22" s="105"/>
      <c r="O22">
        <v>2026</v>
      </c>
      <c r="P22" s="131">
        <v>965.7</v>
      </c>
      <c r="Q22" s="131">
        <v>990.46</v>
      </c>
      <c r="R22" s="1"/>
      <c r="S22" s="1"/>
      <c r="T22" s="223"/>
      <c r="W22" s="4"/>
      <c r="X22" s="4"/>
      <c r="AS22" s="5"/>
    </row>
    <row r="23" spans="1:51" x14ac:dyDescent="0.25">
      <c r="A23" s="106" t="s">
        <v>341</v>
      </c>
      <c r="B23" s="106" t="s">
        <v>12</v>
      </c>
      <c r="C23" s="106" t="s">
        <v>342</v>
      </c>
      <c r="D23" s="106" t="s">
        <v>343</v>
      </c>
      <c r="E23" s="106" t="s">
        <v>344</v>
      </c>
      <c r="F23" s="106" t="s">
        <v>345</v>
      </c>
      <c r="G23" s="106" t="s">
        <v>346</v>
      </c>
      <c r="H23" s="106" t="s">
        <v>347</v>
      </c>
      <c r="I23" s="106" t="s">
        <v>348</v>
      </c>
      <c r="J23" s="106" t="s">
        <v>352</v>
      </c>
      <c r="K23" s="106" t="s">
        <v>349</v>
      </c>
      <c r="L23" s="106" t="s">
        <v>350</v>
      </c>
      <c r="M23" s="106" t="s">
        <v>351</v>
      </c>
      <c r="O23">
        <v>2027</v>
      </c>
      <c r="P23" s="131">
        <v>985.01</v>
      </c>
      <c r="Q23" s="131">
        <v>1010.27</v>
      </c>
      <c r="R23" s="1"/>
      <c r="S23" s="1"/>
      <c r="T23" s="223"/>
      <c r="W23" s="4"/>
      <c r="X23" s="4"/>
      <c r="AS23" s="5"/>
    </row>
    <row r="24" spans="1:51" x14ac:dyDescent="0.25">
      <c r="A24" s="107">
        <f>PersonCalcYr1!C73</f>
        <v>0</v>
      </c>
      <c r="B24" s="108">
        <f>A24/B21</f>
        <v>0</v>
      </c>
      <c r="C24" s="108">
        <f>B24</f>
        <v>0</v>
      </c>
      <c r="D24" s="108">
        <f t="shared" ref="D24:M24" si="4">C24*$E21</f>
        <v>0</v>
      </c>
      <c r="E24" s="108">
        <f t="shared" si="4"/>
        <v>0</v>
      </c>
      <c r="F24" s="108">
        <f t="shared" si="4"/>
        <v>0</v>
      </c>
      <c r="G24" s="108">
        <f t="shared" si="4"/>
        <v>0</v>
      </c>
      <c r="H24" s="108">
        <f t="shared" si="4"/>
        <v>0</v>
      </c>
      <c r="I24" s="108">
        <f t="shared" si="4"/>
        <v>0</v>
      </c>
      <c r="J24" s="108">
        <f t="shared" si="4"/>
        <v>0</v>
      </c>
      <c r="K24" s="108">
        <f t="shared" si="4"/>
        <v>0</v>
      </c>
      <c r="L24" s="108">
        <f t="shared" si="4"/>
        <v>0</v>
      </c>
      <c r="M24" s="108">
        <f t="shared" si="4"/>
        <v>0</v>
      </c>
      <c r="O24">
        <v>2028</v>
      </c>
      <c r="P24" s="131">
        <v>1004.71</v>
      </c>
      <c r="Q24" s="131">
        <v>1030.47</v>
      </c>
      <c r="R24" s="1"/>
      <c r="S24" s="1"/>
      <c r="T24" s="223"/>
      <c r="W24" s="4"/>
      <c r="X24" s="4"/>
      <c r="AS24" s="5"/>
    </row>
    <row r="25" spans="1:51" x14ac:dyDescent="0.25">
      <c r="A25" s="100" t="s">
        <v>23</v>
      </c>
      <c r="B25" s="101"/>
      <c r="C25" s="101"/>
      <c r="D25" s="101"/>
      <c r="E25" s="101"/>
      <c r="F25" s="101"/>
      <c r="G25" s="101"/>
      <c r="H25" s="101"/>
      <c r="I25" s="101"/>
      <c r="J25" s="101"/>
      <c r="K25" s="101"/>
      <c r="L25" s="101"/>
      <c r="M25" s="101"/>
      <c r="O25">
        <v>2029</v>
      </c>
      <c r="P25" s="131">
        <v>1024.8</v>
      </c>
      <c r="Q25" s="131">
        <v>1030.47</v>
      </c>
      <c r="R25" s="1"/>
      <c r="S25" s="1"/>
      <c r="T25" s="223"/>
      <c r="W25" s="4"/>
      <c r="X25" s="4"/>
      <c r="AS25" s="5"/>
    </row>
    <row r="26" spans="1:51" x14ac:dyDescent="0.25">
      <c r="A26" s="101" t="s">
        <v>25</v>
      </c>
      <c r="B26" s="101">
        <v>12</v>
      </c>
      <c r="C26" s="110">
        <f>VLOOKUP(PersonCalcYr1!B91,'Rate Tables'!$S$3:$T$9,2,FALSE)</f>
        <v>1.0249999999999999</v>
      </c>
      <c r="D26" s="105">
        <f>_xlfn.IFNA(C26,1)</f>
        <v>1.0249999999999999</v>
      </c>
      <c r="E26" s="105">
        <f>IF(D26=1,1,C26)</f>
        <v>1.0249999999999999</v>
      </c>
      <c r="F26" s="101"/>
      <c r="G26" s="101"/>
      <c r="H26" s="101"/>
      <c r="I26" s="101"/>
      <c r="J26" s="101"/>
      <c r="K26" s="101"/>
      <c r="L26" s="101"/>
      <c r="M26" s="101"/>
      <c r="W26" s="4"/>
      <c r="X26" s="4"/>
    </row>
    <row r="27" spans="1:51" x14ac:dyDescent="0.25">
      <c r="A27" s="101"/>
      <c r="B27" s="101"/>
      <c r="C27" s="143"/>
      <c r="D27" s="101"/>
      <c r="E27" s="101"/>
      <c r="F27" s="101"/>
      <c r="G27" s="101"/>
      <c r="H27" s="101"/>
      <c r="I27" s="101"/>
      <c r="J27" s="101"/>
      <c r="K27" s="101"/>
      <c r="L27" s="101"/>
      <c r="M27" s="101"/>
      <c r="W27" s="4"/>
      <c r="X27" s="4"/>
    </row>
    <row r="28" spans="1:51" x14ac:dyDescent="0.25">
      <c r="A28" s="102" t="s">
        <v>341</v>
      </c>
      <c r="B28" s="102" t="s">
        <v>12</v>
      </c>
      <c r="C28" s="102" t="s">
        <v>342</v>
      </c>
      <c r="D28" s="102" t="s">
        <v>343</v>
      </c>
      <c r="E28" s="102" t="s">
        <v>344</v>
      </c>
      <c r="F28" s="102" t="s">
        <v>345</v>
      </c>
      <c r="G28" s="102" t="s">
        <v>346</v>
      </c>
      <c r="H28" s="102" t="s">
        <v>347</v>
      </c>
      <c r="I28" s="102" t="s">
        <v>348</v>
      </c>
      <c r="J28" s="102" t="s">
        <v>352</v>
      </c>
      <c r="K28" s="102" t="s">
        <v>349</v>
      </c>
      <c r="L28" s="102" t="s">
        <v>350</v>
      </c>
      <c r="M28" s="102" t="s">
        <v>351</v>
      </c>
      <c r="W28" s="4"/>
      <c r="X28" s="4"/>
    </row>
    <row r="29" spans="1:51" x14ac:dyDescent="0.25">
      <c r="A29" s="103">
        <f>PersonCalcYr1!C91</f>
        <v>0</v>
      </c>
      <c r="B29" s="104">
        <f>A29/B26</f>
        <v>0</v>
      </c>
      <c r="C29" s="103">
        <f>B29</f>
        <v>0</v>
      </c>
      <c r="D29" s="103">
        <f t="shared" ref="D29:M29" si="5">C29*$E26</f>
        <v>0</v>
      </c>
      <c r="E29" s="103">
        <f t="shared" si="5"/>
        <v>0</v>
      </c>
      <c r="F29" s="103">
        <f t="shared" si="5"/>
        <v>0</v>
      </c>
      <c r="G29" s="103">
        <f t="shared" si="5"/>
        <v>0</v>
      </c>
      <c r="H29" s="103">
        <f t="shared" si="5"/>
        <v>0</v>
      </c>
      <c r="I29" s="103">
        <f t="shared" si="5"/>
        <v>0</v>
      </c>
      <c r="J29" s="103">
        <f t="shared" si="5"/>
        <v>0</v>
      </c>
      <c r="K29" s="103">
        <f t="shared" si="5"/>
        <v>0</v>
      </c>
      <c r="L29" s="103">
        <f t="shared" si="5"/>
        <v>0</v>
      </c>
      <c r="M29" s="103">
        <f t="shared" si="5"/>
        <v>0</v>
      </c>
      <c r="W29" s="4"/>
      <c r="X29" s="4"/>
    </row>
    <row r="30" spans="1:51" x14ac:dyDescent="0.25">
      <c r="A30" s="101"/>
      <c r="B30" s="101"/>
      <c r="C30" s="101"/>
      <c r="D30" s="101"/>
      <c r="E30" s="101"/>
      <c r="F30" s="101"/>
      <c r="G30" s="101"/>
      <c r="H30" s="101"/>
      <c r="I30" s="101"/>
      <c r="J30" s="101"/>
      <c r="K30" s="101"/>
      <c r="L30" s="101"/>
      <c r="M30" s="101"/>
    </row>
    <row r="31" spans="1:51" x14ac:dyDescent="0.25">
      <c r="A31" s="101" t="s">
        <v>26</v>
      </c>
      <c r="B31" s="101">
        <v>12</v>
      </c>
      <c r="C31" s="109">
        <f>VLOOKUP(PersonCalcYr1!B101,'Rate Tables'!$S$3:$T$9,2,FALSE)</f>
        <v>1.0249999999999999</v>
      </c>
      <c r="D31" s="105">
        <f>_xlfn.IFNA(C31,1)</f>
        <v>1.0249999999999999</v>
      </c>
      <c r="E31" s="105">
        <f>IF(D31=1,1,C31)</f>
        <v>1.0249999999999999</v>
      </c>
      <c r="F31" s="101"/>
      <c r="G31" s="101"/>
      <c r="H31" s="101"/>
      <c r="I31" s="101"/>
      <c r="J31" s="101"/>
      <c r="K31" s="101"/>
      <c r="L31" s="101"/>
      <c r="M31" s="101"/>
      <c r="O31" s="2"/>
      <c r="V31" s="2"/>
      <c r="W31" s="4"/>
    </row>
    <row r="32" spans="1:51" x14ac:dyDescent="0.25">
      <c r="A32" s="101"/>
      <c r="B32" s="101"/>
      <c r="C32" s="142"/>
      <c r="D32" s="101"/>
      <c r="E32" s="101"/>
      <c r="F32" s="101"/>
      <c r="G32" s="101"/>
      <c r="H32" s="101"/>
      <c r="I32" s="101"/>
      <c r="J32" s="101"/>
      <c r="K32" s="101"/>
      <c r="L32" s="101"/>
      <c r="M32" s="101"/>
      <c r="O32" s="2"/>
      <c r="V32" s="2"/>
      <c r="W32" s="4"/>
    </row>
    <row r="33" spans="1:26" x14ac:dyDescent="0.25">
      <c r="A33" s="102" t="s">
        <v>341</v>
      </c>
      <c r="B33" s="102" t="s">
        <v>12</v>
      </c>
      <c r="C33" s="102" t="s">
        <v>342</v>
      </c>
      <c r="D33" s="102" t="s">
        <v>343</v>
      </c>
      <c r="E33" s="102" t="s">
        <v>344</v>
      </c>
      <c r="F33" s="102" t="s">
        <v>345</v>
      </c>
      <c r="G33" s="102" t="s">
        <v>346</v>
      </c>
      <c r="H33" s="102" t="s">
        <v>347</v>
      </c>
      <c r="I33" s="102" t="s">
        <v>348</v>
      </c>
      <c r="J33" s="102" t="s">
        <v>352</v>
      </c>
      <c r="K33" s="102" t="s">
        <v>349</v>
      </c>
      <c r="L33" s="102" t="s">
        <v>350</v>
      </c>
      <c r="M33" s="102" t="s">
        <v>351</v>
      </c>
      <c r="O33" s="1"/>
      <c r="P33" s="1"/>
      <c r="Q33" s="1"/>
      <c r="R33" s="1"/>
      <c r="S33" s="1"/>
      <c r="T33" s="1"/>
      <c r="W33" s="4"/>
      <c r="X33" s="4"/>
      <c r="Y33" s="4"/>
      <c r="Z33" s="4"/>
    </row>
    <row r="34" spans="1:26" x14ac:dyDescent="0.25">
      <c r="A34" s="103">
        <f>PersonCalcYr1!C101</f>
        <v>0</v>
      </c>
      <c r="B34" s="104">
        <f>A34/B31</f>
        <v>0</v>
      </c>
      <c r="C34" s="103">
        <f>B34</f>
        <v>0</v>
      </c>
      <c r="D34" s="103">
        <f t="shared" ref="D34:M34" si="6">C34*$E31</f>
        <v>0</v>
      </c>
      <c r="E34" s="103">
        <f t="shared" si="6"/>
        <v>0</v>
      </c>
      <c r="F34" s="103">
        <f t="shared" si="6"/>
        <v>0</v>
      </c>
      <c r="G34" s="103">
        <f t="shared" si="6"/>
        <v>0</v>
      </c>
      <c r="H34" s="103">
        <f t="shared" si="6"/>
        <v>0</v>
      </c>
      <c r="I34" s="103">
        <f t="shared" si="6"/>
        <v>0</v>
      </c>
      <c r="J34" s="103">
        <f t="shared" si="6"/>
        <v>0</v>
      </c>
      <c r="K34" s="103">
        <f t="shared" si="6"/>
        <v>0</v>
      </c>
      <c r="L34" s="103">
        <f t="shared" si="6"/>
        <v>0</v>
      </c>
      <c r="M34" s="103">
        <f t="shared" si="6"/>
        <v>0</v>
      </c>
      <c r="O34" s="3"/>
      <c r="Q34" s="3"/>
      <c r="S34" s="3"/>
      <c r="W34" s="4"/>
    </row>
    <row r="35" spans="1:26" x14ac:dyDescent="0.25">
      <c r="A35" s="101"/>
      <c r="B35" s="101"/>
      <c r="C35" s="101"/>
      <c r="D35" s="101"/>
      <c r="E35" s="101"/>
      <c r="F35" s="101"/>
      <c r="G35" s="101"/>
      <c r="H35" s="101"/>
      <c r="I35" s="101"/>
      <c r="J35" s="101"/>
      <c r="K35" s="101"/>
      <c r="L35" s="101"/>
      <c r="M35" s="101"/>
      <c r="V35" s="3"/>
      <c r="W35" s="4"/>
    </row>
    <row r="36" spans="1:26" x14ac:dyDescent="0.25">
      <c r="A36" s="101" t="s">
        <v>60</v>
      </c>
      <c r="B36" s="101">
        <v>12</v>
      </c>
      <c r="C36" s="109">
        <f>VLOOKUP(PersonCalcYr1!B111,'Rate Tables'!$S$3:$T$9,2,FALSE)</f>
        <v>1.0249999999999999</v>
      </c>
      <c r="D36" s="105">
        <f>_xlfn.IFNA(C36,1)</f>
        <v>1.0249999999999999</v>
      </c>
      <c r="E36" s="105">
        <f>IF(D36=1,1,C36)</f>
        <v>1.0249999999999999</v>
      </c>
      <c r="F36" s="101"/>
      <c r="G36" s="101"/>
      <c r="H36" s="101"/>
      <c r="I36" s="101"/>
      <c r="J36" s="101"/>
      <c r="K36" s="101"/>
      <c r="L36" s="101"/>
      <c r="M36" s="101"/>
      <c r="W36" s="4"/>
    </row>
    <row r="37" spans="1:26" x14ac:dyDescent="0.25">
      <c r="A37" s="101"/>
      <c r="B37" s="101"/>
      <c r="C37" s="142"/>
      <c r="D37" s="101"/>
      <c r="E37" s="101"/>
      <c r="F37" s="101"/>
      <c r="G37" s="101"/>
      <c r="H37" s="101"/>
      <c r="I37" s="101"/>
      <c r="J37" s="101"/>
      <c r="K37" s="101"/>
      <c r="L37" s="101"/>
      <c r="M37" s="101"/>
      <c r="W37" s="4"/>
    </row>
    <row r="38" spans="1:26" x14ac:dyDescent="0.25">
      <c r="A38" s="102" t="s">
        <v>341</v>
      </c>
      <c r="B38" s="102" t="s">
        <v>12</v>
      </c>
      <c r="C38" s="102" t="s">
        <v>342</v>
      </c>
      <c r="D38" s="102" t="s">
        <v>343</v>
      </c>
      <c r="E38" s="102" t="s">
        <v>344</v>
      </c>
      <c r="F38" s="102" t="s">
        <v>345</v>
      </c>
      <c r="G38" s="102" t="s">
        <v>346</v>
      </c>
      <c r="H38" s="102" t="s">
        <v>347</v>
      </c>
      <c r="I38" s="102" t="s">
        <v>348</v>
      </c>
      <c r="J38" s="102" t="s">
        <v>352</v>
      </c>
      <c r="K38" s="102" t="s">
        <v>349</v>
      </c>
      <c r="L38" s="102" t="s">
        <v>350</v>
      </c>
      <c r="M38" s="102" t="s">
        <v>351</v>
      </c>
      <c r="W38" s="4"/>
    </row>
    <row r="39" spans="1:26" x14ac:dyDescent="0.25">
      <c r="A39" s="103">
        <f>PersonCalcYr1!C111</f>
        <v>0</v>
      </c>
      <c r="B39" s="104">
        <f>A39/B36</f>
        <v>0</v>
      </c>
      <c r="C39" s="103">
        <f>B39</f>
        <v>0</v>
      </c>
      <c r="D39" s="103">
        <f t="shared" ref="D39:M39" si="7">C39*$E36</f>
        <v>0</v>
      </c>
      <c r="E39" s="103">
        <f t="shared" si="7"/>
        <v>0</v>
      </c>
      <c r="F39" s="103">
        <f t="shared" si="7"/>
        <v>0</v>
      </c>
      <c r="G39" s="103">
        <f t="shared" si="7"/>
        <v>0</v>
      </c>
      <c r="H39" s="103">
        <f t="shared" si="7"/>
        <v>0</v>
      </c>
      <c r="I39" s="103">
        <f t="shared" si="7"/>
        <v>0</v>
      </c>
      <c r="J39" s="103">
        <f t="shared" si="7"/>
        <v>0</v>
      </c>
      <c r="K39" s="103">
        <f t="shared" si="7"/>
        <v>0</v>
      </c>
      <c r="L39" s="103">
        <f t="shared" si="7"/>
        <v>0</v>
      </c>
      <c r="M39" s="103">
        <f t="shared" si="7"/>
        <v>0</v>
      </c>
      <c r="W39" s="4"/>
    </row>
    <row r="40" spans="1:26" x14ac:dyDescent="0.25">
      <c r="A40" s="103"/>
      <c r="B40" s="103"/>
      <c r="C40" s="103"/>
      <c r="D40" s="103"/>
      <c r="E40" s="103"/>
      <c r="F40" s="103"/>
      <c r="G40" s="103"/>
      <c r="H40" s="103"/>
      <c r="I40" s="103"/>
      <c r="J40" s="103"/>
      <c r="K40" s="103"/>
      <c r="L40" s="103"/>
      <c r="M40" s="103"/>
      <c r="W40" s="4"/>
    </row>
    <row r="41" spans="1:26" x14ac:dyDescent="0.25">
      <c r="A41" s="101" t="s">
        <v>61</v>
      </c>
      <c r="B41" s="101">
        <v>12</v>
      </c>
      <c r="C41" s="109">
        <f>VLOOKUP(PersonCalcYr1!B121,'Rate Tables'!$S$3:$T$9,2,FALSE)</f>
        <v>1.0249999999999999</v>
      </c>
      <c r="D41" s="105">
        <f>_xlfn.IFNA(C41,1)</f>
        <v>1.0249999999999999</v>
      </c>
      <c r="E41" s="105">
        <f>IF(D41=1,1,C41)</f>
        <v>1.0249999999999999</v>
      </c>
      <c r="F41" s="101"/>
      <c r="G41" s="101"/>
      <c r="H41" s="101"/>
      <c r="I41" s="101"/>
      <c r="J41" s="101"/>
      <c r="K41" s="101"/>
      <c r="L41" s="101"/>
      <c r="M41" s="101"/>
      <c r="W41" s="4"/>
    </row>
    <row r="42" spans="1:26" x14ac:dyDescent="0.25">
      <c r="A42" s="101"/>
      <c r="B42" s="101"/>
      <c r="C42" s="142"/>
      <c r="D42" s="101"/>
      <c r="E42" s="101"/>
      <c r="F42" s="101"/>
      <c r="G42" s="101"/>
      <c r="H42" s="101"/>
      <c r="I42" s="101"/>
      <c r="J42" s="101"/>
      <c r="K42" s="101"/>
      <c r="L42" s="101"/>
      <c r="M42" s="101"/>
      <c r="W42" s="4"/>
    </row>
    <row r="43" spans="1:26" x14ac:dyDescent="0.25">
      <c r="A43" s="102" t="s">
        <v>341</v>
      </c>
      <c r="B43" s="102" t="s">
        <v>12</v>
      </c>
      <c r="C43" s="102" t="s">
        <v>342</v>
      </c>
      <c r="D43" s="102" t="s">
        <v>343</v>
      </c>
      <c r="E43" s="102" t="s">
        <v>344</v>
      </c>
      <c r="F43" s="102" t="s">
        <v>345</v>
      </c>
      <c r="G43" s="102" t="s">
        <v>346</v>
      </c>
      <c r="H43" s="102" t="s">
        <v>347</v>
      </c>
      <c r="I43" s="102" t="s">
        <v>348</v>
      </c>
      <c r="J43" s="102" t="s">
        <v>352</v>
      </c>
      <c r="K43" s="102" t="s">
        <v>349</v>
      </c>
      <c r="L43" s="102" t="s">
        <v>350</v>
      </c>
      <c r="M43" s="102" t="s">
        <v>351</v>
      </c>
      <c r="W43" s="4"/>
    </row>
    <row r="44" spans="1:26" x14ac:dyDescent="0.25">
      <c r="A44" s="103">
        <f>PersonCalcYr1!C121</f>
        <v>0</v>
      </c>
      <c r="B44" s="104">
        <f>A44/B41</f>
        <v>0</v>
      </c>
      <c r="C44" s="103">
        <f>B44</f>
        <v>0</v>
      </c>
      <c r="D44" s="103">
        <f t="shared" ref="D44:M44" si="8">C44*$E41</f>
        <v>0</v>
      </c>
      <c r="E44" s="103">
        <f t="shared" si="8"/>
        <v>0</v>
      </c>
      <c r="F44" s="103">
        <f t="shared" si="8"/>
        <v>0</v>
      </c>
      <c r="G44" s="103">
        <f t="shared" si="8"/>
        <v>0</v>
      </c>
      <c r="H44" s="103">
        <f t="shared" si="8"/>
        <v>0</v>
      </c>
      <c r="I44" s="103">
        <f t="shared" si="8"/>
        <v>0</v>
      </c>
      <c r="J44" s="103">
        <f t="shared" si="8"/>
        <v>0</v>
      </c>
      <c r="K44" s="103">
        <f t="shared" si="8"/>
        <v>0</v>
      </c>
      <c r="L44" s="103">
        <f t="shared" si="8"/>
        <v>0</v>
      </c>
      <c r="M44" s="103">
        <f t="shared" si="8"/>
        <v>0</v>
      </c>
      <c r="W44" s="4"/>
    </row>
    <row r="45" spans="1:26" x14ac:dyDescent="0.25">
      <c r="A45" s="101"/>
      <c r="B45" s="101"/>
      <c r="C45" s="101"/>
      <c r="D45" s="101"/>
      <c r="E45" s="101"/>
      <c r="F45" s="101"/>
      <c r="G45" s="101"/>
      <c r="H45" s="101"/>
      <c r="I45" s="101"/>
      <c r="J45" s="101"/>
      <c r="K45" s="101"/>
      <c r="L45" s="101"/>
      <c r="M45" s="101"/>
      <c r="W45" s="4"/>
    </row>
    <row r="46" spans="1:26" x14ac:dyDescent="0.25">
      <c r="A46" s="101" t="s">
        <v>62</v>
      </c>
      <c r="B46" s="101">
        <v>12</v>
      </c>
      <c r="C46" s="109">
        <f>VLOOKUP(PersonCalcYr1!B131,'Rate Tables'!$S$3:$T$9,2,FALSE)</f>
        <v>1.02</v>
      </c>
      <c r="D46" s="105">
        <f>_xlfn.IFNA(C46,1)</f>
        <v>1.02</v>
      </c>
      <c r="E46" s="105">
        <f>IF(D46=1,1,C46)</f>
        <v>1.02</v>
      </c>
      <c r="F46" s="101"/>
      <c r="G46" s="101"/>
      <c r="H46" s="101"/>
      <c r="I46" s="101"/>
      <c r="J46" s="101"/>
      <c r="K46" s="101"/>
      <c r="L46" s="101"/>
      <c r="M46" s="101"/>
      <c r="W46" s="4"/>
    </row>
    <row r="47" spans="1:26" x14ac:dyDescent="0.25">
      <c r="A47" s="101"/>
      <c r="B47" s="101"/>
      <c r="C47" s="142"/>
      <c r="D47" s="101"/>
      <c r="E47" s="101"/>
      <c r="F47" s="101"/>
      <c r="G47" s="101"/>
      <c r="H47" s="101"/>
      <c r="I47" s="101"/>
      <c r="J47" s="101"/>
      <c r="K47" s="101"/>
      <c r="L47" s="101"/>
      <c r="M47" s="101"/>
      <c r="W47" s="4"/>
    </row>
    <row r="48" spans="1:26" x14ac:dyDescent="0.25">
      <c r="A48" s="102" t="s">
        <v>341</v>
      </c>
      <c r="B48" s="102" t="s">
        <v>12</v>
      </c>
      <c r="C48" s="102" t="s">
        <v>342</v>
      </c>
      <c r="D48" s="102" t="s">
        <v>343</v>
      </c>
      <c r="E48" s="102" t="s">
        <v>344</v>
      </c>
      <c r="F48" s="102" t="s">
        <v>345</v>
      </c>
      <c r="G48" s="102" t="s">
        <v>346</v>
      </c>
      <c r="H48" s="102" t="s">
        <v>347</v>
      </c>
      <c r="I48" s="102" t="s">
        <v>348</v>
      </c>
      <c r="J48" s="102" t="s">
        <v>352</v>
      </c>
      <c r="K48" s="102" t="s">
        <v>349</v>
      </c>
      <c r="L48" s="102" t="s">
        <v>350</v>
      </c>
      <c r="M48" s="102" t="s">
        <v>351</v>
      </c>
      <c r="W48" s="4"/>
    </row>
    <row r="49" spans="1:23" x14ac:dyDescent="0.25">
      <c r="A49" s="103">
        <f>PersonCalcYr1!C131</f>
        <v>0</v>
      </c>
      <c r="B49" s="104">
        <f>A49/B46</f>
        <v>0</v>
      </c>
      <c r="C49" s="103">
        <f>B49</f>
        <v>0</v>
      </c>
      <c r="D49" s="103">
        <f t="shared" ref="D49:M49" si="9">C49*$E46</f>
        <v>0</v>
      </c>
      <c r="E49" s="103">
        <f t="shared" si="9"/>
        <v>0</v>
      </c>
      <c r="F49" s="103">
        <f t="shared" si="9"/>
        <v>0</v>
      </c>
      <c r="G49" s="103">
        <f t="shared" si="9"/>
        <v>0</v>
      </c>
      <c r="H49" s="103">
        <f t="shared" si="9"/>
        <v>0</v>
      </c>
      <c r="I49" s="103">
        <f t="shared" si="9"/>
        <v>0</v>
      </c>
      <c r="J49" s="103">
        <f t="shared" si="9"/>
        <v>0</v>
      </c>
      <c r="K49" s="103">
        <f t="shared" si="9"/>
        <v>0</v>
      </c>
      <c r="L49" s="103">
        <f t="shared" si="9"/>
        <v>0</v>
      </c>
      <c r="M49" s="103">
        <f t="shared" si="9"/>
        <v>0</v>
      </c>
      <c r="W49" s="4"/>
    </row>
    <row r="50" spans="1:23" x14ac:dyDescent="0.25">
      <c r="A50" s="101"/>
      <c r="B50" s="101"/>
      <c r="C50" s="101"/>
      <c r="D50" s="101"/>
      <c r="E50" s="101"/>
      <c r="F50" s="101"/>
      <c r="G50" s="101"/>
      <c r="H50" s="101"/>
      <c r="I50" s="101"/>
      <c r="J50" s="101"/>
      <c r="K50" s="101"/>
      <c r="L50" s="101"/>
      <c r="M50" s="101"/>
      <c r="W50" s="4"/>
    </row>
    <row r="51" spans="1:23" hidden="1" x14ac:dyDescent="0.25">
      <c r="A51" s="101" t="s">
        <v>63</v>
      </c>
      <c r="B51" s="101">
        <v>12</v>
      </c>
      <c r="C51" s="109" t="e">
        <f>VLOOKUP(PersonCalcYr1!#REF!,'Rate Tables'!$S$3:$T$8,2,FALSE)</f>
        <v>#REF!</v>
      </c>
      <c r="D51" s="101"/>
      <c r="E51" s="101"/>
      <c r="F51" s="101"/>
      <c r="G51" s="101"/>
      <c r="H51" s="101"/>
      <c r="I51" s="101"/>
      <c r="J51" s="101"/>
      <c r="K51" s="101"/>
      <c r="L51" s="101"/>
      <c r="M51" s="101"/>
    </row>
    <row r="52" spans="1:23" hidden="1" x14ac:dyDescent="0.25">
      <c r="A52" s="102" t="s">
        <v>111</v>
      </c>
      <c r="B52" s="102" t="s">
        <v>12</v>
      </c>
      <c r="C52" s="102" t="s">
        <v>19</v>
      </c>
      <c r="D52" s="102" t="s">
        <v>20</v>
      </c>
      <c r="E52" s="102" t="s">
        <v>21</v>
      </c>
      <c r="F52" s="102" t="s">
        <v>22</v>
      </c>
      <c r="G52" s="102" t="s">
        <v>36</v>
      </c>
      <c r="H52" s="102" t="s">
        <v>37</v>
      </c>
      <c r="I52" s="102" t="s">
        <v>38</v>
      </c>
      <c r="J52" s="102" t="s">
        <v>39</v>
      </c>
      <c r="K52" s="102" t="s">
        <v>85</v>
      </c>
      <c r="L52" s="102" t="s">
        <v>86</v>
      </c>
      <c r="M52" s="102" t="s">
        <v>112</v>
      </c>
    </row>
    <row r="53" spans="1:23" hidden="1" x14ac:dyDescent="0.25">
      <c r="A53" s="103" t="e">
        <f>PersonCalcYr1!#REF!</f>
        <v>#REF!</v>
      </c>
      <c r="B53" s="104" t="e">
        <f>A53/B51</f>
        <v>#REF!</v>
      </c>
      <c r="C53" s="103" t="e">
        <f>B53</f>
        <v>#REF!</v>
      </c>
      <c r="D53" s="103" t="e">
        <f t="shared" ref="D53:M53" si="10">C53*$C51</f>
        <v>#REF!</v>
      </c>
      <c r="E53" s="103" t="e">
        <f t="shared" si="10"/>
        <v>#REF!</v>
      </c>
      <c r="F53" s="103" t="e">
        <f t="shared" si="10"/>
        <v>#REF!</v>
      </c>
      <c r="G53" s="103" t="e">
        <f t="shared" si="10"/>
        <v>#REF!</v>
      </c>
      <c r="H53" s="103" t="e">
        <f t="shared" si="10"/>
        <v>#REF!</v>
      </c>
      <c r="I53" s="103" t="e">
        <f t="shared" si="10"/>
        <v>#REF!</v>
      </c>
      <c r="J53" s="103" t="e">
        <f t="shared" si="10"/>
        <v>#REF!</v>
      </c>
      <c r="K53" s="103" t="e">
        <f t="shared" si="10"/>
        <v>#REF!</v>
      </c>
      <c r="L53" s="103" t="e">
        <f t="shared" si="10"/>
        <v>#REF!</v>
      </c>
      <c r="M53" s="103" t="e">
        <f t="shared" si="10"/>
        <v>#REF!</v>
      </c>
    </row>
    <row r="54" spans="1:23" hidden="1" x14ac:dyDescent="0.25">
      <c r="A54" s="101"/>
      <c r="B54" s="101"/>
      <c r="C54" s="101"/>
      <c r="D54" s="101"/>
      <c r="E54" s="101"/>
      <c r="F54" s="101"/>
      <c r="G54" s="101"/>
      <c r="H54" s="101"/>
      <c r="I54" s="101"/>
      <c r="J54" s="101"/>
      <c r="K54" s="101"/>
      <c r="L54" s="101"/>
      <c r="M54" s="101"/>
    </row>
    <row r="55" spans="1:23" hidden="1" x14ac:dyDescent="0.25">
      <c r="A55" s="101" t="s">
        <v>64</v>
      </c>
      <c r="B55" s="101">
        <v>12</v>
      </c>
      <c r="C55" s="109" t="e">
        <f>VLOOKUP(PersonCalcYr1!#REF!,'Rate Tables'!$S$3:$T$8,2,FALSE)</f>
        <v>#REF!</v>
      </c>
      <c r="D55" s="101"/>
      <c r="E55" s="101"/>
      <c r="F55" s="101"/>
      <c r="G55" s="101"/>
      <c r="H55" s="101"/>
      <c r="I55" s="101"/>
      <c r="J55" s="101"/>
      <c r="K55" s="101"/>
      <c r="L55" s="101"/>
      <c r="M55" s="101"/>
    </row>
    <row r="56" spans="1:23" hidden="1" x14ac:dyDescent="0.25">
      <c r="A56" s="102" t="s">
        <v>111</v>
      </c>
      <c r="B56" s="102" t="s">
        <v>12</v>
      </c>
      <c r="C56" s="102" t="s">
        <v>19</v>
      </c>
      <c r="D56" s="102" t="s">
        <v>20</v>
      </c>
      <c r="E56" s="102" t="s">
        <v>21</v>
      </c>
      <c r="F56" s="102" t="s">
        <v>22</v>
      </c>
      <c r="G56" s="102" t="s">
        <v>36</v>
      </c>
      <c r="H56" s="102" t="s">
        <v>37</v>
      </c>
      <c r="I56" s="102" t="s">
        <v>38</v>
      </c>
      <c r="J56" s="102" t="s">
        <v>39</v>
      </c>
      <c r="K56" s="102" t="s">
        <v>85</v>
      </c>
      <c r="L56" s="102" t="s">
        <v>86</v>
      </c>
      <c r="M56" s="102" t="s">
        <v>112</v>
      </c>
    </row>
    <row r="57" spans="1:23" hidden="1" x14ac:dyDescent="0.25">
      <c r="A57" s="103">
        <f>PersonCalcYr1!C99</f>
        <v>0</v>
      </c>
      <c r="B57" s="104">
        <f>A57/B55</f>
        <v>0</v>
      </c>
      <c r="C57" s="103">
        <f>B57</f>
        <v>0</v>
      </c>
      <c r="D57" s="103" t="e">
        <f t="shared" ref="D57:M57" si="11">C57*$C55</f>
        <v>#REF!</v>
      </c>
      <c r="E57" s="103" t="e">
        <f t="shared" si="11"/>
        <v>#REF!</v>
      </c>
      <c r="F57" s="103" t="e">
        <f t="shared" si="11"/>
        <v>#REF!</v>
      </c>
      <c r="G57" s="103" t="e">
        <f t="shared" si="11"/>
        <v>#REF!</v>
      </c>
      <c r="H57" s="103" t="e">
        <f t="shared" si="11"/>
        <v>#REF!</v>
      </c>
      <c r="I57" s="103" t="e">
        <f t="shared" si="11"/>
        <v>#REF!</v>
      </c>
      <c r="J57" s="103" t="e">
        <f t="shared" si="11"/>
        <v>#REF!</v>
      </c>
      <c r="K57" s="103" t="e">
        <f t="shared" si="11"/>
        <v>#REF!</v>
      </c>
      <c r="L57" s="103" t="e">
        <f t="shared" si="11"/>
        <v>#REF!</v>
      </c>
      <c r="M57" s="103" t="e">
        <f t="shared" si="11"/>
        <v>#REF!</v>
      </c>
    </row>
    <row r="58" spans="1:23" hidden="1" x14ac:dyDescent="0.25">
      <c r="A58" s="101"/>
      <c r="B58" s="101"/>
      <c r="C58" s="101"/>
      <c r="D58" s="101"/>
      <c r="E58" s="101"/>
      <c r="F58" s="101"/>
      <c r="G58" s="101"/>
      <c r="H58" s="101"/>
      <c r="I58" s="101"/>
      <c r="J58" s="101"/>
      <c r="K58" s="101"/>
      <c r="L58" s="101"/>
      <c r="M58" s="101"/>
    </row>
    <row r="59" spans="1:23" hidden="1" x14ac:dyDescent="0.25">
      <c r="A59" s="101" t="s">
        <v>65</v>
      </c>
      <c r="B59" s="101">
        <v>12</v>
      </c>
      <c r="C59" s="109" t="e">
        <f>VLOOKUP(PersonCalcYr1!#REF!,'Rate Tables'!$S$3:$T$8,2,FALSE)</f>
        <v>#REF!</v>
      </c>
      <c r="D59" s="101"/>
      <c r="E59" s="101"/>
      <c r="F59" s="101"/>
      <c r="G59" s="101"/>
      <c r="H59" s="101"/>
      <c r="I59" s="101"/>
      <c r="J59" s="101"/>
      <c r="K59" s="101"/>
      <c r="L59" s="101"/>
      <c r="M59" s="101"/>
    </row>
    <row r="60" spans="1:23" hidden="1" x14ac:dyDescent="0.25">
      <c r="A60" s="102" t="s">
        <v>111</v>
      </c>
      <c r="B60" s="102" t="s">
        <v>12</v>
      </c>
      <c r="C60" s="102" t="s">
        <v>19</v>
      </c>
      <c r="D60" s="102" t="s">
        <v>20</v>
      </c>
      <c r="E60" s="102" t="s">
        <v>21</v>
      </c>
      <c r="F60" s="102" t="s">
        <v>22</v>
      </c>
      <c r="G60" s="102" t="s">
        <v>36</v>
      </c>
      <c r="H60" s="102" t="s">
        <v>37</v>
      </c>
      <c r="I60" s="102" t="s">
        <v>38</v>
      </c>
      <c r="J60" s="102" t="s">
        <v>39</v>
      </c>
      <c r="K60" s="102" t="s">
        <v>85</v>
      </c>
      <c r="L60" s="102" t="s">
        <v>86</v>
      </c>
      <c r="M60" s="102" t="s">
        <v>112</v>
      </c>
    </row>
    <row r="61" spans="1:23" hidden="1" x14ac:dyDescent="0.25">
      <c r="A61" s="103">
        <f>PersonCalcYr1!C144</f>
        <v>0</v>
      </c>
      <c r="B61" s="104">
        <f>A61/B59</f>
        <v>0</v>
      </c>
      <c r="C61" s="103">
        <f>B61</f>
        <v>0</v>
      </c>
      <c r="D61" s="103" t="e">
        <f t="shared" ref="D61:M61" si="12">C61*$C59</f>
        <v>#REF!</v>
      </c>
      <c r="E61" s="103" t="e">
        <f t="shared" si="12"/>
        <v>#REF!</v>
      </c>
      <c r="F61" s="103" t="e">
        <f t="shared" si="12"/>
        <v>#REF!</v>
      </c>
      <c r="G61" s="103" t="e">
        <f t="shared" si="12"/>
        <v>#REF!</v>
      </c>
      <c r="H61" s="103" t="e">
        <f t="shared" si="12"/>
        <v>#REF!</v>
      </c>
      <c r="I61" s="103" t="e">
        <f t="shared" si="12"/>
        <v>#REF!</v>
      </c>
      <c r="J61" s="103" t="e">
        <f t="shared" si="12"/>
        <v>#REF!</v>
      </c>
      <c r="K61" s="103" t="e">
        <f t="shared" si="12"/>
        <v>#REF!</v>
      </c>
      <c r="L61" s="103" t="e">
        <f t="shared" si="12"/>
        <v>#REF!</v>
      </c>
      <c r="M61" s="103" t="e">
        <f t="shared" si="12"/>
        <v>#REF!</v>
      </c>
    </row>
    <row r="62" spans="1:23" hidden="1" x14ac:dyDescent="0.25">
      <c r="A62" s="101"/>
      <c r="B62" s="101"/>
      <c r="C62" s="101"/>
      <c r="D62" s="101"/>
      <c r="E62" s="101"/>
      <c r="F62" s="101"/>
      <c r="G62" s="101"/>
      <c r="H62" s="101"/>
      <c r="I62" s="101"/>
      <c r="J62" s="101"/>
      <c r="K62" s="101"/>
      <c r="L62" s="101"/>
      <c r="M62" s="101"/>
    </row>
    <row r="63" spans="1:23" hidden="1" x14ac:dyDescent="0.25">
      <c r="A63" s="101" t="s">
        <v>66</v>
      </c>
      <c r="B63" s="101">
        <v>12</v>
      </c>
      <c r="C63" s="109" t="e">
        <f>VLOOKUP(PersonCalcYr1!#REF!,'Rate Tables'!$S$3:$T$8,2,FALSE)</f>
        <v>#REF!</v>
      </c>
      <c r="D63" s="101"/>
      <c r="E63" s="101"/>
      <c r="F63" s="101"/>
      <c r="G63" s="101"/>
      <c r="H63" s="101"/>
      <c r="I63" s="101"/>
      <c r="J63" s="101"/>
      <c r="K63" s="101"/>
      <c r="L63" s="101"/>
      <c r="M63" s="101"/>
    </row>
    <row r="64" spans="1:23" hidden="1" x14ac:dyDescent="0.25">
      <c r="A64" s="102" t="s">
        <v>111</v>
      </c>
      <c r="B64" s="102" t="s">
        <v>12</v>
      </c>
      <c r="C64" s="102" t="s">
        <v>19</v>
      </c>
      <c r="D64" s="102" t="s">
        <v>20</v>
      </c>
      <c r="E64" s="102" t="s">
        <v>21</v>
      </c>
      <c r="F64" s="102" t="s">
        <v>22</v>
      </c>
      <c r="G64" s="102" t="s">
        <v>36</v>
      </c>
      <c r="H64" s="102" t="s">
        <v>37</v>
      </c>
      <c r="I64" s="102" t="s">
        <v>38</v>
      </c>
      <c r="J64" s="102" t="s">
        <v>39</v>
      </c>
      <c r="K64" s="102" t="s">
        <v>85</v>
      </c>
      <c r="L64" s="102" t="s">
        <v>86</v>
      </c>
      <c r="M64" s="102" t="s">
        <v>112</v>
      </c>
    </row>
    <row r="65" spans="1:13" hidden="1" x14ac:dyDescent="0.25">
      <c r="A65" s="103">
        <f>PersonCalcYr1!C148</f>
        <v>0</v>
      </c>
      <c r="B65" s="104">
        <f>A65/B63</f>
        <v>0</v>
      </c>
      <c r="C65" s="103">
        <f>B65</f>
        <v>0</v>
      </c>
      <c r="D65" s="103" t="e">
        <f t="shared" ref="D65:M65" si="13">C65*$C63</f>
        <v>#REF!</v>
      </c>
      <c r="E65" s="103" t="e">
        <f t="shared" si="13"/>
        <v>#REF!</v>
      </c>
      <c r="F65" s="103" t="e">
        <f t="shared" si="13"/>
        <v>#REF!</v>
      </c>
      <c r="G65" s="103" t="e">
        <f t="shared" si="13"/>
        <v>#REF!</v>
      </c>
      <c r="H65" s="103" t="e">
        <f t="shared" si="13"/>
        <v>#REF!</v>
      </c>
      <c r="I65" s="103" t="e">
        <f t="shared" si="13"/>
        <v>#REF!</v>
      </c>
      <c r="J65" s="103" t="e">
        <f t="shared" si="13"/>
        <v>#REF!</v>
      </c>
      <c r="K65" s="103" t="e">
        <f t="shared" si="13"/>
        <v>#REF!</v>
      </c>
      <c r="L65" s="103" t="e">
        <f t="shared" si="13"/>
        <v>#REF!</v>
      </c>
      <c r="M65" s="103" t="e">
        <f t="shared" si="13"/>
        <v>#REF!</v>
      </c>
    </row>
    <row r="66" spans="1:13" hidden="1" x14ac:dyDescent="0.25">
      <c r="A66" s="101"/>
      <c r="B66" s="101"/>
      <c r="C66" s="101"/>
      <c r="D66" s="101"/>
      <c r="E66" s="101"/>
      <c r="F66" s="101"/>
      <c r="G66" s="101"/>
      <c r="H66" s="101"/>
      <c r="I66" s="101"/>
      <c r="J66" s="101"/>
      <c r="K66" s="101"/>
      <c r="L66" s="101"/>
      <c r="M66" s="101"/>
    </row>
    <row r="67" spans="1:13" hidden="1" x14ac:dyDescent="0.25">
      <c r="A67" s="101" t="s">
        <v>67</v>
      </c>
      <c r="B67" s="101">
        <v>12</v>
      </c>
      <c r="C67" s="109" t="e">
        <f>VLOOKUP(PersonCalcYr1!E141,'Rate Tables'!$S$3:$T$8,2,FALSE)</f>
        <v>#N/A</v>
      </c>
      <c r="D67" s="101"/>
      <c r="E67" s="101"/>
      <c r="F67" s="101"/>
      <c r="G67" s="101"/>
      <c r="H67" s="101"/>
      <c r="I67" s="101"/>
      <c r="J67" s="101"/>
      <c r="K67" s="101"/>
      <c r="L67" s="101"/>
      <c r="M67" s="101"/>
    </row>
    <row r="68" spans="1:13" hidden="1" x14ac:dyDescent="0.25">
      <c r="A68" s="102" t="s">
        <v>111</v>
      </c>
      <c r="B68" s="102" t="s">
        <v>12</v>
      </c>
      <c r="C68" s="102" t="s">
        <v>19</v>
      </c>
      <c r="D68" s="102" t="s">
        <v>20</v>
      </c>
      <c r="E68" s="102" t="s">
        <v>21</v>
      </c>
      <c r="F68" s="102" t="s">
        <v>22</v>
      </c>
      <c r="G68" s="102" t="s">
        <v>36</v>
      </c>
      <c r="H68" s="102" t="s">
        <v>37</v>
      </c>
      <c r="I68" s="102" t="s">
        <v>38</v>
      </c>
      <c r="J68" s="102" t="s">
        <v>39</v>
      </c>
      <c r="K68" s="102" t="s">
        <v>85</v>
      </c>
      <c r="L68" s="102" t="s">
        <v>86</v>
      </c>
      <c r="M68" s="102" t="s">
        <v>112</v>
      </c>
    </row>
    <row r="69" spans="1:13" hidden="1" x14ac:dyDescent="0.25">
      <c r="A69" s="103" t="str">
        <f>PersonCalcYr1!C153</f>
        <v>FY Salary 7/1/21</v>
      </c>
      <c r="B69" s="104" t="e">
        <f>A69/B67</f>
        <v>#VALUE!</v>
      </c>
      <c r="C69" s="103" t="e">
        <f>B69</f>
        <v>#VALUE!</v>
      </c>
      <c r="D69" s="103" t="e">
        <f t="shared" ref="D69:M69" si="14">C69*$C67</f>
        <v>#VALUE!</v>
      </c>
      <c r="E69" s="103" t="e">
        <f t="shared" si="14"/>
        <v>#VALUE!</v>
      </c>
      <c r="F69" s="103" t="e">
        <f t="shared" si="14"/>
        <v>#VALUE!</v>
      </c>
      <c r="G69" s="103" t="e">
        <f t="shared" si="14"/>
        <v>#VALUE!</v>
      </c>
      <c r="H69" s="103" t="e">
        <f t="shared" si="14"/>
        <v>#VALUE!</v>
      </c>
      <c r="I69" s="103" t="e">
        <f t="shared" si="14"/>
        <v>#VALUE!</v>
      </c>
      <c r="J69" s="103" t="e">
        <f t="shared" si="14"/>
        <v>#VALUE!</v>
      </c>
      <c r="K69" s="103" t="e">
        <f t="shared" si="14"/>
        <v>#VALUE!</v>
      </c>
      <c r="L69" s="103" t="e">
        <f t="shared" si="14"/>
        <v>#VALUE!</v>
      </c>
      <c r="M69" s="103" t="e">
        <f t="shared" si="14"/>
        <v>#VALUE!</v>
      </c>
    </row>
    <row r="70" spans="1:13" x14ac:dyDescent="0.25">
      <c r="A70" s="229" t="s">
        <v>24</v>
      </c>
      <c r="B70" s="229">
        <v>9</v>
      </c>
      <c r="C70" s="230">
        <v>1.02</v>
      </c>
      <c r="D70" s="105">
        <f>_xlfn.IFNA(C70,1)</f>
        <v>1.02</v>
      </c>
      <c r="E70" s="105">
        <f>IF(D70=1,1,C70)</f>
        <v>1.02</v>
      </c>
      <c r="F70" s="229"/>
      <c r="G70" s="229"/>
      <c r="H70" s="229"/>
      <c r="I70" s="229"/>
      <c r="J70" s="229"/>
      <c r="K70" s="229"/>
      <c r="L70" s="229"/>
      <c r="M70" s="229"/>
    </row>
    <row r="71" spans="1:13" x14ac:dyDescent="0.25">
      <c r="A71" s="229" t="s">
        <v>149</v>
      </c>
      <c r="B71" s="229"/>
      <c r="C71" s="231"/>
      <c r="D71" s="229"/>
      <c r="E71" s="229"/>
      <c r="F71" s="229"/>
      <c r="G71" s="229"/>
      <c r="H71" s="229"/>
      <c r="I71" s="229"/>
      <c r="J71" s="229"/>
      <c r="K71" s="229"/>
      <c r="L71" s="229"/>
      <c r="M71" s="229"/>
    </row>
    <row r="72" spans="1:13" x14ac:dyDescent="0.25">
      <c r="A72" s="232" t="s">
        <v>341</v>
      </c>
      <c r="B72" s="232" t="s">
        <v>12</v>
      </c>
      <c r="C72" s="232" t="s">
        <v>342</v>
      </c>
      <c r="D72" s="232" t="s">
        <v>343</v>
      </c>
      <c r="E72" s="232" t="s">
        <v>344</v>
      </c>
      <c r="F72" s="232" t="s">
        <v>345</v>
      </c>
      <c r="G72" s="232" t="s">
        <v>346</v>
      </c>
      <c r="H72" s="232" t="s">
        <v>347</v>
      </c>
      <c r="I72" s="232" t="s">
        <v>348</v>
      </c>
      <c r="J72" s="232" t="s">
        <v>352</v>
      </c>
      <c r="K72" s="232" t="s">
        <v>349</v>
      </c>
      <c r="L72" s="232" t="s">
        <v>350</v>
      </c>
      <c r="M72" s="232" t="s">
        <v>351</v>
      </c>
    </row>
    <row r="73" spans="1:13" x14ac:dyDescent="0.25">
      <c r="A73" s="231">
        <f>PersonCalcYr1!C144</f>
        <v>0</v>
      </c>
      <c r="B73" s="233">
        <f>A73/B70</f>
        <v>0</v>
      </c>
      <c r="C73" s="402">
        <f>B73</f>
        <v>0</v>
      </c>
      <c r="D73" s="402">
        <f t="shared" ref="D73:M73" si="15">C73*$E70</f>
        <v>0</v>
      </c>
      <c r="E73" s="402">
        <f t="shared" si="15"/>
        <v>0</v>
      </c>
      <c r="F73" s="402">
        <f t="shared" si="15"/>
        <v>0</v>
      </c>
      <c r="G73" s="402">
        <f t="shared" si="15"/>
        <v>0</v>
      </c>
      <c r="H73" s="402">
        <f t="shared" si="15"/>
        <v>0</v>
      </c>
      <c r="I73" s="402">
        <f t="shared" si="15"/>
        <v>0</v>
      </c>
      <c r="J73" s="402">
        <f t="shared" si="15"/>
        <v>0</v>
      </c>
      <c r="K73" s="402">
        <f t="shared" si="15"/>
        <v>0</v>
      </c>
      <c r="L73" s="402">
        <f t="shared" si="15"/>
        <v>0</v>
      </c>
      <c r="M73" s="402">
        <f t="shared" si="15"/>
        <v>0</v>
      </c>
    </row>
    <row r="74" spans="1:13" x14ac:dyDescent="0.25">
      <c r="A74" s="229" t="s">
        <v>24</v>
      </c>
      <c r="B74" s="229">
        <v>9</v>
      </c>
      <c r="C74" s="230">
        <v>1.02</v>
      </c>
      <c r="D74" s="105">
        <f>_xlfn.IFNA(C74,1)</f>
        <v>1.02</v>
      </c>
      <c r="E74" s="105">
        <f>IF(D74=1,1,C74)</f>
        <v>1.02</v>
      </c>
      <c r="F74" s="229"/>
      <c r="G74" s="229"/>
      <c r="H74" s="229"/>
      <c r="I74" s="229"/>
      <c r="J74" s="229"/>
      <c r="K74" s="229"/>
      <c r="L74" s="229"/>
      <c r="M74" s="229"/>
    </row>
    <row r="75" spans="1:13" x14ac:dyDescent="0.25">
      <c r="A75" s="229" t="s">
        <v>150</v>
      </c>
      <c r="B75" s="229"/>
      <c r="C75" s="231"/>
      <c r="D75" s="229"/>
      <c r="E75" s="229"/>
      <c r="F75" s="229"/>
      <c r="G75" s="229"/>
      <c r="H75" s="229"/>
      <c r="I75" s="229"/>
      <c r="J75" s="229"/>
      <c r="K75" s="229"/>
      <c r="L75" s="229"/>
      <c r="M75" s="229"/>
    </row>
    <row r="76" spans="1:13" x14ac:dyDescent="0.25">
      <c r="A76" s="232" t="s">
        <v>341</v>
      </c>
      <c r="B76" s="232" t="s">
        <v>12</v>
      </c>
      <c r="C76" s="232" t="s">
        <v>342</v>
      </c>
      <c r="D76" s="232" t="s">
        <v>343</v>
      </c>
      <c r="E76" s="232" t="s">
        <v>344</v>
      </c>
      <c r="F76" s="232" t="s">
        <v>345</v>
      </c>
      <c r="G76" s="232" t="s">
        <v>346</v>
      </c>
      <c r="H76" s="232" t="s">
        <v>347</v>
      </c>
      <c r="I76" s="232" t="s">
        <v>348</v>
      </c>
      <c r="J76" s="232" t="s">
        <v>352</v>
      </c>
      <c r="K76" s="232" t="s">
        <v>349</v>
      </c>
      <c r="L76" s="232" t="s">
        <v>350</v>
      </c>
      <c r="M76" s="232" t="s">
        <v>351</v>
      </c>
    </row>
    <row r="77" spans="1:13" x14ac:dyDescent="0.25">
      <c r="A77" s="231">
        <f>PersonCalcYr1!C176</f>
        <v>0</v>
      </c>
      <c r="B77" s="233">
        <f>A77/B74</f>
        <v>0</v>
      </c>
      <c r="C77" s="233">
        <f>B77</f>
        <v>0</v>
      </c>
      <c r="D77" s="233">
        <f t="shared" ref="D77:M77" si="16">C77*$E74</f>
        <v>0</v>
      </c>
      <c r="E77" s="233">
        <f t="shared" si="16"/>
        <v>0</v>
      </c>
      <c r="F77" s="233">
        <f t="shared" si="16"/>
        <v>0</v>
      </c>
      <c r="G77" s="233">
        <f t="shared" si="16"/>
        <v>0</v>
      </c>
      <c r="H77" s="233">
        <f t="shared" si="16"/>
        <v>0</v>
      </c>
      <c r="I77" s="233">
        <f t="shared" si="16"/>
        <v>0</v>
      </c>
      <c r="J77" s="233">
        <f t="shared" si="16"/>
        <v>0</v>
      </c>
      <c r="K77" s="233">
        <f t="shared" si="16"/>
        <v>0</v>
      </c>
      <c r="L77" s="233">
        <f t="shared" si="16"/>
        <v>0</v>
      </c>
      <c r="M77" s="233">
        <f t="shared" si="16"/>
        <v>0</v>
      </c>
    </row>
    <row r="78" spans="1:13" x14ac:dyDescent="0.25">
      <c r="A78" s="229" t="s">
        <v>24</v>
      </c>
      <c r="B78" s="229">
        <v>9</v>
      </c>
      <c r="C78" s="230">
        <v>1.02</v>
      </c>
      <c r="D78" s="105">
        <f>_xlfn.IFNA(C78,1)</f>
        <v>1.02</v>
      </c>
      <c r="E78" s="105">
        <f>IF(D78=1,1,C78)</f>
        <v>1.02</v>
      </c>
      <c r="F78" s="229"/>
      <c r="G78" s="229"/>
      <c r="H78" s="229"/>
      <c r="I78" s="229"/>
      <c r="J78" s="229"/>
      <c r="K78" s="229"/>
      <c r="L78" s="229"/>
      <c r="M78" s="229"/>
    </row>
    <row r="79" spans="1:13" x14ac:dyDescent="0.25">
      <c r="A79" s="229" t="s">
        <v>151</v>
      </c>
      <c r="B79" s="229"/>
      <c r="C79" s="231"/>
      <c r="D79" s="229"/>
      <c r="E79" s="229"/>
      <c r="F79" s="229"/>
      <c r="G79" s="229"/>
      <c r="H79" s="229"/>
      <c r="I79" s="229"/>
      <c r="J79" s="229"/>
      <c r="K79" s="229"/>
      <c r="L79" s="229"/>
      <c r="M79" s="229"/>
    </row>
    <row r="80" spans="1:13" x14ac:dyDescent="0.25">
      <c r="A80" s="232" t="s">
        <v>341</v>
      </c>
      <c r="B80" s="232" t="s">
        <v>12</v>
      </c>
      <c r="C80" s="232" t="s">
        <v>342</v>
      </c>
      <c r="D80" s="232" t="s">
        <v>343</v>
      </c>
      <c r="E80" s="232" t="s">
        <v>344</v>
      </c>
      <c r="F80" s="232" t="s">
        <v>345</v>
      </c>
      <c r="G80" s="232" t="s">
        <v>346</v>
      </c>
      <c r="H80" s="232" t="s">
        <v>347</v>
      </c>
      <c r="I80" s="232" t="s">
        <v>348</v>
      </c>
      <c r="J80" s="232" t="s">
        <v>352</v>
      </c>
      <c r="K80" s="232" t="s">
        <v>349</v>
      </c>
      <c r="L80" s="232" t="s">
        <v>350</v>
      </c>
      <c r="M80" s="232" t="s">
        <v>351</v>
      </c>
    </row>
    <row r="81" spans="1:13" x14ac:dyDescent="0.25">
      <c r="A81" s="231">
        <f>PersonCalcYr1!C208</f>
        <v>0</v>
      </c>
      <c r="B81" s="233">
        <f>A81/B78</f>
        <v>0</v>
      </c>
      <c r="C81" s="233">
        <f>B81</f>
        <v>0</v>
      </c>
      <c r="D81" s="233">
        <f t="shared" ref="D81:M81" si="17">C81*$E78</f>
        <v>0</v>
      </c>
      <c r="E81" s="233">
        <f t="shared" si="17"/>
        <v>0</v>
      </c>
      <c r="F81" s="233">
        <f t="shared" si="17"/>
        <v>0</v>
      </c>
      <c r="G81" s="233">
        <f t="shared" si="17"/>
        <v>0</v>
      </c>
      <c r="H81" s="233">
        <f t="shared" si="17"/>
        <v>0</v>
      </c>
      <c r="I81" s="233">
        <f t="shared" si="17"/>
        <v>0</v>
      </c>
      <c r="J81" s="233">
        <f t="shared" si="17"/>
        <v>0</v>
      </c>
      <c r="K81" s="233">
        <f t="shared" si="17"/>
        <v>0</v>
      </c>
      <c r="L81" s="233">
        <f t="shared" si="17"/>
        <v>0</v>
      </c>
      <c r="M81" s="233">
        <f t="shared" si="17"/>
        <v>0</v>
      </c>
    </row>
    <row r="82" spans="1:13" x14ac:dyDescent="0.25">
      <c r="A82" s="229" t="s">
        <v>24</v>
      </c>
      <c r="B82" s="229">
        <v>9</v>
      </c>
      <c r="C82" s="230">
        <v>1.02</v>
      </c>
      <c r="D82" s="105">
        <f>_xlfn.IFNA(C82,1)</f>
        <v>1.02</v>
      </c>
      <c r="E82" s="105">
        <f>IF(D82=1,1,C82)</f>
        <v>1.02</v>
      </c>
      <c r="F82" s="229"/>
      <c r="G82" s="229"/>
      <c r="H82" s="229"/>
      <c r="I82" s="229"/>
      <c r="J82" s="229"/>
      <c r="K82" s="229"/>
      <c r="L82" s="229"/>
      <c r="M82" s="229"/>
    </row>
    <row r="83" spans="1:13" x14ac:dyDescent="0.25">
      <c r="A83" s="229" t="s">
        <v>152</v>
      </c>
      <c r="B83" s="229"/>
      <c r="C83" s="231"/>
      <c r="D83" s="229"/>
      <c r="E83" s="229"/>
      <c r="F83" s="229"/>
      <c r="G83" s="229"/>
      <c r="H83" s="229"/>
      <c r="I83" s="229"/>
      <c r="J83" s="229"/>
      <c r="K83" s="229"/>
      <c r="L83" s="229"/>
      <c r="M83" s="229"/>
    </row>
    <row r="84" spans="1:13" x14ac:dyDescent="0.25">
      <c r="A84" s="232" t="s">
        <v>341</v>
      </c>
      <c r="B84" s="232" t="s">
        <v>12</v>
      </c>
      <c r="C84" s="232" t="s">
        <v>342</v>
      </c>
      <c r="D84" s="232" t="s">
        <v>343</v>
      </c>
      <c r="E84" s="232" t="s">
        <v>344</v>
      </c>
      <c r="F84" s="232" t="s">
        <v>345</v>
      </c>
      <c r="G84" s="232" t="s">
        <v>346</v>
      </c>
      <c r="H84" s="232" t="s">
        <v>347</v>
      </c>
      <c r="I84" s="232" t="s">
        <v>348</v>
      </c>
      <c r="J84" s="232" t="s">
        <v>352</v>
      </c>
      <c r="K84" s="232" t="s">
        <v>349</v>
      </c>
      <c r="L84" s="232" t="s">
        <v>350</v>
      </c>
      <c r="M84" s="232" t="s">
        <v>351</v>
      </c>
    </row>
    <row r="85" spans="1:13" x14ac:dyDescent="0.25">
      <c r="A85" s="231">
        <f>PersonCalcYr1!C240</f>
        <v>0</v>
      </c>
      <c r="B85" s="233">
        <f>A85/B82</f>
        <v>0</v>
      </c>
      <c r="C85" s="233">
        <f>B85</f>
        <v>0</v>
      </c>
      <c r="D85" s="233">
        <f t="shared" ref="D85:M85" si="18">C85*$E82</f>
        <v>0</v>
      </c>
      <c r="E85" s="233">
        <f t="shared" si="18"/>
        <v>0</v>
      </c>
      <c r="F85" s="233">
        <f t="shared" si="18"/>
        <v>0</v>
      </c>
      <c r="G85" s="233">
        <f t="shared" si="18"/>
        <v>0</v>
      </c>
      <c r="H85" s="233">
        <f t="shared" si="18"/>
        <v>0</v>
      </c>
      <c r="I85" s="233">
        <f t="shared" si="18"/>
        <v>0</v>
      </c>
      <c r="J85" s="233">
        <f t="shared" si="18"/>
        <v>0</v>
      </c>
      <c r="K85" s="233">
        <f t="shared" si="18"/>
        <v>0</v>
      </c>
      <c r="L85" s="233">
        <f t="shared" si="18"/>
        <v>0</v>
      </c>
      <c r="M85" s="233">
        <f t="shared" si="18"/>
        <v>0</v>
      </c>
    </row>
    <row r="86" spans="1:13" x14ac:dyDescent="0.25">
      <c r="A86" s="229" t="s">
        <v>24</v>
      </c>
      <c r="B86" s="229">
        <v>9</v>
      </c>
      <c r="C86" s="230">
        <v>1.02</v>
      </c>
      <c r="D86" s="105">
        <f>_xlfn.IFNA(C86,1)</f>
        <v>1.02</v>
      </c>
      <c r="E86" s="105">
        <f>IF(D86=1,1,C86)</f>
        <v>1.02</v>
      </c>
      <c r="F86" s="229"/>
      <c r="G86" s="229"/>
      <c r="H86" s="229"/>
      <c r="I86" s="229"/>
      <c r="J86" s="229"/>
      <c r="K86" s="229"/>
      <c r="L86" s="229"/>
      <c r="M86" s="229"/>
    </row>
    <row r="87" spans="1:13" x14ac:dyDescent="0.25">
      <c r="A87" s="229" t="s">
        <v>153</v>
      </c>
      <c r="B87" s="229"/>
      <c r="C87" s="231"/>
      <c r="D87" s="229"/>
      <c r="E87" s="229"/>
      <c r="F87" s="229"/>
      <c r="G87" s="229"/>
      <c r="H87" s="229"/>
      <c r="I87" s="229"/>
      <c r="J87" s="229"/>
      <c r="K87" s="229"/>
      <c r="L87" s="229"/>
      <c r="M87" s="229"/>
    </row>
    <row r="88" spans="1:13" x14ac:dyDescent="0.25">
      <c r="A88" s="232" t="s">
        <v>341</v>
      </c>
      <c r="B88" s="232" t="s">
        <v>12</v>
      </c>
      <c r="C88" s="232" t="s">
        <v>342</v>
      </c>
      <c r="D88" s="232" t="s">
        <v>343</v>
      </c>
      <c r="E88" s="232" t="s">
        <v>344</v>
      </c>
      <c r="F88" s="232" t="s">
        <v>345</v>
      </c>
      <c r="G88" s="232" t="s">
        <v>346</v>
      </c>
      <c r="H88" s="232" t="s">
        <v>347</v>
      </c>
      <c r="I88" s="232" t="s">
        <v>348</v>
      </c>
      <c r="J88" s="232" t="s">
        <v>352</v>
      </c>
      <c r="K88" s="232" t="s">
        <v>349</v>
      </c>
      <c r="L88" s="232" t="s">
        <v>350</v>
      </c>
      <c r="M88" s="232" t="s">
        <v>351</v>
      </c>
    </row>
    <row r="89" spans="1:13" x14ac:dyDescent="0.25">
      <c r="A89" s="231">
        <f>PersonCalcYr1!C272</f>
        <v>0</v>
      </c>
      <c r="B89" s="233">
        <f>A89/B86</f>
        <v>0</v>
      </c>
      <c r="C89" s="233">
        <f>B89</f>
        <v>0</v>
      </c>
      <c r="D89" s="233">
        <f t="shared" ref="D89:M89" si="19">C89*$E86</f>
        <v>0</v>
      </c>
      <c r="E89" s="233">
        <f t="shared" si="19"/>
        <v>0</v>
      </c>
      <c r="F89" s="233">
        <f t="shared" si="19"/>
        <v>0</v>
      </c>
      <c r="G89" s="233">
        <f t="shared" si="19"/>
        <v>0</v>
      </c>
      <c r="H89" s="233">
        <f t="shared" si="19"/>
        <v>0</v>
      </c>
      <c r="I89" s="233">
        <f t="shared" si="19"/>
        <v>0</v>
      </c>
      <c r="J89" s="233">
        <f t="shared" si="19"/>
        <v>0</v>
      </c>
      <c r="K89" s="233">
        <f t="shared" si="19"/>
        <v>0</v>
      </c>
      <c r="L89" s="233">
        <f t="shared" si="19"/>
        <v>0</v>
      </c>
      <c r="M89" s="233">
        <f t="shared" si="19"/>
        <v>0</v>
      </c>
    </row>
    <row r="90" spans="1:13" x14ac:dyDescent="0.25">
      <c r="A90" s="234" t="s">
        <v>23</v>
      </c>
      <c r="B90" s="235"/>
      <c r="C90" s="235"/>
      <c r="D90" s="235"/>
      <c r="E90" s="235"/>
      <c r="F90" s="235"/>
      <c r="G90" s="235"/>
      <c r="H90" s="235"/>
      <c r="I90" s="235"/>
      <c r="J90" s="235"/>
      <c r="K90" s="235"/>
      <c r="L90" s="235"/>
      <c r="M90" s="235"/>
    </row>
    <row r="91" spans="1:13" x14ac:dyDescent="0.25">
      <c r="A91" s="235" t="s">
        <v>154</v>
      </c>
      <c r="B91" s="235">
        <v>12</v>
      </c>
      <c r="C91" s="236">
        <v>1.02</v>
      </c>
      <c r="D91" s="105">
        <f>_xlfn.IFNA(C91,1)</f>
        <v>1.02</v>
      </c>
      <c r="E91" s="105">
        <f>IF(D91=1,1,C91)</f>
        <v>1.02</v>
      </c>
      <c r="F91" s="235"/>
      <c r="G91" s="235"/>
      <c r="H91" s="235"/>
      <c r="I91" s="235"/>
      <c r="J91" s="235"/>
      <c r="K91" s="235"/>
      <c r="L91" s="235"/>
      <c r="M91" s="235"/>
    </row>
    <row r="92" spans="1:13" x14ac:dyDescent="0.25">
      <c r="A92" s="235"/>
      <c r="B92" s="235"/>
      <c r="C92" s="237"/>
      <c r="D92" s="235"/>
      <c r="E92" s="235"/>
      <c r="F92" s="235"/>
      <c r="G92" s="235"/>
      <c r="H92" s="235"/>
      <c r="I92" s="235"/>
      <c r="J92" s="235"/>
      <c r="K92" s="235"/>
      <c r="L92" s="235"/>
      <c r="M92" s="235"/>
    </row>
    <row r="93" spans="1:13" x14ac:dyDescent="0.25">
      <c r="A93" s="238" t="s">
        <v>341</v>
      </c>
      <c r="B93" s="238" t="s">
        <v>12</v>
      </c>
      <c r="C93" s="238" t="s">
        <v>342</v>
      </c>
      <c r="D93" s="238" t="s">
        <v>343</v>
      </c>
      <c r="E93" s="238" t="s">
        <v>344</v>
      </c>
      <c r="F93" s="238" t="s">
        <v>345</v>
      </c>
      <c r="G93" s="238" t="s">
        <v>346</v>
      </c>
      <c r="H93" s="238" t="s">
        <v>347</v>
      </c>
      <c r="I93" s="238" t="s">
        <v>348</v>
      </c>
      <c r="J93" s="238" t="s">
        <v>352</v>
      </c>
      <c r="K93" s="238" t="s">
        <v>349</v>
      </c>
      <c r="L93" s="238" t="s">
        <v>350</v>
      </c>
      <c r="M93" s="238" t="s">
        <v>351</v>
      </c>
    </row>
    <row r="94" spans="1:13" x14ac:dyDescent="0.25">
      <c r="A94" s="239">
        <f>PersonCalcYr1!C162</f>
        <v>0</v>
      </c>
      <c r="B94" s="240">
        <f>A94/B91</f>
        <v>0</v>
      </c>
      <c r="C94" s="239">
        <f>B94</f>
        <v>0</v>
      </c>
      <c r="D94" s="239">
        <f t="shared" ref="D94:M94" si="20">C94*$E91</f>
        <v>0</v>
      </c>
      <c r="E94" s="239">
        <f t="shared" si="20"/>
        <v>0</v>
      </c>
      <c r="F94" s="239">
        <f t="shared" si="20"/>
        <v>0</v>
      </c>
      <c r="G94" s="239">
        <f t="shared" si="20"/>
        <v>0</v>
      </c>
      <c r="H94" s="239">
        <f t="shared" si="20"/>
        <v>0</v>
      </c>
      <c r="I94" s="239">
        <f t="shared" si="20"/>
        <v>0</v>
      </c>
      <c r="J94" s="239">
        <f t="shared" si="20"/>
        <v>0</v>
      </c>
      <c r="K94" s="239">
        <f t="shared" si="20"/>
        <v>0</v>
      </c>
      <c r="L94" s="239">
        <f t="shared" si="20"/>
        <v>0</v>
      </c>
      <c r="M94" s="239">
        <f t="shared" si="20"/>
        <v>0</v>
      </c>
    </row>
    <row r="95" spans="1:13" x14ac:dyDescent="0.25">
      <c r="A95" s="234" t="s">
        <v>23</v>
      </c>
      <c r="B95" s="235"/>
      <c r="C95" s="235"/>
      <c r="D95" s="235"/>
      <c r="E95" s="235"/>
      <c r="F95" s="235"/>
      <c r="G95" s="235"/>
      <c r="H95" s="235"/>
      <c r="I95" s="235"/>
      <c r="J95" s="235"/>
      <c r="K95" s="235"/>
      <c r="L95" s="235"/>
      <c r="M95" s="235"/>
    </row>
    <row r="96" spans="1:13" x14ac:dyDescent="0.25">
      <c r="A96" s="235" t="s">
        <v>155</v>
      </c>
      <c r="B96" s="235">
        <v>12</v>
      </c>
      <c r="C96" s="236">
        <v>1.02</v>
      </c>
      <c r="D96" s="105">
        <f>_xlfn.IFNA(C96,1)</f>
        <v>1.02</v>
      </c>
      <c r="E96" s="105">
        <f>IF(D96=1,1,C96)</f>
        <v>1.02</v>
      </c>
      <c r="F96" s="235"/>
      <c r="G96" s="235"/>
      <c r="H96" s="235"/>
      <c r="I96" s="235"/>
      <c r="J96" s="235"/>
      <c r="K96" s="235"/>
      <c r="L96" s="235"/>
      <c r="M96" s="235"/>
    </row>
    <row r="97" spans="1:13" x14ac:dyDescent="0.25">
      <c r="A97" s="235"/>
      <c r="B97" s="235"/>
      <c r="C97" s="237"/>
      <c r="D97" s="235"/>
      <c r="E97" s="235"/>
      <c r="F97" s="235"/>
      <c r="G97" s="235"/>
      <c r="H97" s="235"/>
      <c r="I97" s="235"/>
      <c r="J97" s="235"/>
      <c r="K97" s="235"/>
      <c r="L97" s="235"/>
      <c r="M97" s="235"/>
    </row>
    <row r="98" spans="1:13" x14ac:dyDescent="0.25">
      <c r="A98" s="238" t="s">
        <v>341</v>
      </c>
      <c r="B98" s="238" t="s">
        <v>12</v>
      </c>
      <c r="C98" s="238" t="s">
        <v>342</v>
      </c>
      <c r="D98" s="238" t="s">
        <v>343</v>
      </c>
      <c r="E98" s="238" t="s">
        <v>344</v>
      </c>
      <c r="F98" s="238" t="s">
        <v>345</v>
      </c>
      <c r="G98" s="238" t="s">
        <v>346</v>
      </c>
      <c r="H98" s="238" t="s">
        <v>347</v>
      </c>
      <c r="I98" s="238" t="s">
        <v>348</v>
      </c>
      <c r="J98" s="238" t="s">
        <v>352</v>
      </c>
      <c r="K98" s="238" t="s">
        <v>349</v>
      </c>
      <c r="L98" s="238" t="s">
        <v>350</v>
      </c>
      <c r="M98" s="238" t="s">
        <v>351</v>
      </c>
    </row>
    <row r="99" spans="1:13" x14ac:dyDescent="0.25">
      <c r="A99" s="239">
        <f>PersonCalcYr1!C194</f>
        <v>0</v>
      </c>
      <c r="B99" s="240">
        <f>A99/B96</f>
        <v>0</v>
      </c>
      <c r="C99" s="239">
        <f>B99</f>
        <v>0</v>
      </c>
      <c r="D99" s="239">
        <f t="shared" ref="D99:M99" si="21">C99*$E96</f>
        <v>0</v>
      </c>
      <c r="E99" s="239">
        <f t="shared" si="21"/>
        <v>0</v>
      </c>
      <c r="F99" s="239">
        <f t="shared" si="21"/>
        <v>0</v>
      </c>
      <c r="G99" s="239">
        <f t="shared" si="21"/>
        <v>0</v>
      </c>
      <c r="H99" s="239">
        <f t="shared" si="21"/>
        <v>0</v>
      </c>
      <c r="I99" s="239">
        <f t="shared" si="21"/>
        <v>0</v>
      </c>
      <c r="J99" s="239">
        <f t="shared" si="21"/>
        <v>0</v>
      </c>
      <c r="K99" s="239">
        <f t="shared" si="21"/>
        <v>0</v>
      </c>
      <c r="L99" s="239">
        <f t="shared" si="21"/>
        <v>0</v>
      </c>
      <c r="M99" s="239">
        <f t="shared" si="21"/>
        <v>0</v>
      </c>
    </row>
    <row r="100" spans="1:13" x14ac:dyDescent="0.25">
      <c r="A100" s="234" t="s">
        <v>23</v>
      </c>
      <c r="B100" s="235"/>
      <c r="C100" s="235"/>
      <c r="D100" s="235"/>
      <c r="E100" s="235"/>
      <c r="F100" s="235"/>
      <c r="G100" s="235"/>
      <c r="H100" s="235"/>
      <c r="I100" s="235"/>
      <c r="J100" s="235"/>
      <c r="K100" s="235"/>
      <c r="L100" s="235"/>
      <c r="M100" s="235"/>
    </row>
    <row r="101" spans="1:13" x14ac:dyDescent="0.25">
      <c r="A101" s="235" t="s">
        <v>156</v>
      </c>
      <c r="B101" s="235">
        <v>12</v>
      </c>
      <c r="C101" s="236">
        <v>1.02</v>
      </c>
      <c r="D101" s="105">
        <f>_xlfn.IFNA(C101,1)</f>
        <v>1.02</v>
      </c>
      <c r="E101" s="105">
        <f>IF(D101=1,1,C101)</f>
        <v>1.02</v>
      </c>
      <c r="F101" s="235"/>
      <c r="G101" s="235"/>
      <c r="H101" s="235"/>
      <c r="I101" s="235"/>
      <c r="J101" s="235"/>
      <c r="K101" s="235"/>
      <c r="L101" s="235"/>
      <c r="M101" s="235"/>
    </row>
    <row r="102" spans="1:13" x14ac:dyDescent="0.25">
      <c r="A102" s="235"/>
      <c r="B102" s="235"/>
      <c r="C102" s="237"/>
      <c r="D102" s="235"/>
      <c r="E102" s="235"/>
      <c r="F102" s="235"/>
      <c r="G102" s="235"/>
      <c r="H102" s="235"/>
      <c r="I102" s="235"/>
      <c r="J102" s="235"/>
      <c r="K102" s="235"/>
      <c r="L102" s="235"/>
      <c r="M102" s="235"/>
    </row>
    <row r="103" spans="1:13" x14ac:dyDescent="0.25">
      <c r="A103" s="238" t="s">
        <v>341</v>
      </c>
      <c r="B103" s="238" t="s">
        <v>12</v>
      </c>
      <c r="C103" s="238" t="s">
        <v>342</v>
      </c>
      <c r="D103" s="238" t="s">
        <v>343</v>
      </c>
      <c r="E103" s="238" t="s">
        <v>344</v>
      </c>
      <c r="F103" s="238" t="s">
        <v>345</v>
      </c>
      <c r="G103" s="238" t="s">
        <v>346</v>
      </c>
      <c r="H103" s="238" t="s">
        <v>347</v>
      </c>
      <c r="I103" s="238" t="s">
        <v>348</v>
      </c>
      <c r="J103" s="238" t="s">
        <v>352</v>
      </c>
      <c r="K103" s="238" t="s">
        <v>349</v>
      </c>
      <c r="L103" s="238" t="s">
        <v>350</v>
      </c>
      <c r="M103" s="238" t="s">
        <v>351</v>
      </c>
    </row>
    <row r="104" spans="1:13" x14ac:dyDescent="0.25">
      <c r="A104" s="239">
        <f>PersonCalcYr1!C226</f>
        <v>0</v>
      </c>
      <c r="B104" s="240">
        <f>A104/B101</f>
        <v>0</v>
      </c>
      <c r="C104" s="239">
        <f>B104</f>
        <v>0</v>
      </c>
      <c r="D104" s="239">
        <f t="shared" ref="D104:M104" si="22">C104*$E101</f>
        <v>0</v>
      </c>
      <c r="E104" s="239">
        <f t="shared" si="22"/>
        <v>0</v>
      </c>
      <c r="F104" s="239">
        <f t="shared" si="22"/>
        <v>0</v>
      </c>
      <c r="G104" s="239">
        <f t="shared" si="22"/>
        <v>0</v>
      </c>
      <c r="H104" s="239">
        <f t="shared" si="22"/>
        <v>0</v>
      </c>
      <c r="I104" s="239">
        <f t="shared" si="22"/>
        <v>0</v>
      </c>
      <c r="J104" s="239">
        <f t="shared" si="22"/>
        <v>0</v>
      </c>
      <c r="K104" s="239">
        <f t="shared" si="22"/>
        <v>0</v>
      </c>
      <c r="L104" s="239">
        <f t="shared" si="22"/>
        <v>0</v>
      </c>
      <c r="M104" s="239">
        <f t="shared" si="22"/>
        <v>0</v>
      </c>
    </row>
    <row r="105" spans="1:13" x14ac:dyDescent="0.25">
      <c r="A105" s="234" t="s">
        <v>23</v>
      </c>
      <c r="B105" s="235"/>
      <c r="C105" s="235"/>
      <c r="D105" s="235"/>
      <c r="E105" s="235"/>
      <c r="F105" s="235"/>
      <c r="G105" s="235"/>
      <c r="H105" s="235"/>
      <c r="I105" s="235"/>
      <c r="J105" s="235"/>
      <c r="K105" s="235"/>
      <c r="L105" s="235"/>
      <c r="M105" s="235"/>
    </row>
    <row r="106" spans="1:13" x14ac:dyDescent="0.25">
      <c r="A106" s="235" t="s">
        <v>157</v>
      </c>
      <c r="B106" s="235">
        <v>12</v>
      </c>
      <c r="C106" s="236">
        <v>1.02</v>
      </c>
      <c r="D106" s="105">
        <f>_xlfn.IFNA(C106,1)</f>
        <v>1.02</v>
      </c>
      <c r="E106" s="105">
        <f>IF(D106=1,1,C106)</f>
        <v>1.02</v>
      </c>
      <c r="F106" s="235"/>
      <c r="G106" s="235"/>
      <c r="H106" s="235"/>
      <c r="I106" s="235"/>
      <c r="J106" s="235"/>
      <c r="K106" s="235"/>
      <c r="L106" s="235"/>
      <c r="M106" s="235"/>
    </row>
    <row r="107" spans="1:13" x14ac:dyDescent="0.25">
      <c r="A107" s="235"/>
      <c r="B107" s="235" t="s">
        <v>135</v>
      </c>
      <c r="C107" s="237"/>
      <c r="D107" s="235"/>
      <c r="E107" s="235"/>
      <c r="F107" s="235"/>
      <c r="G107" s="235"/>
      <c r="H107" s="235"/>
      <c r="I107" s="235"/>
      <c r="J107" s="235"/>
      <c r="K107" s="235"/>
      <c r="L107" s="235"/>
      <c r="M107" s="235"/>
    </row>
    <row r="108" spans="1:13" x14ac:dyDescent="0.25">
      <c r="A108" s="238" t="s">
        <v>341</v>
      </c>
      <c r="B108" s="238" t="s">
        <v>12</v>
      </c>
      <c r="C108" s="238" t="s">
        <v>342</v>
      </c>
      <c r="D108" s="238" t="s">
        <v>343</v>
      </c>
      <c r="E108" s="238" t="s">
        <v>344</v>
      </c>
      <c r="F108" s="238" t="s">
        <v>345</v>
      </c>
      <c r="G108" s="238" t="s">
        <v>346</v>
      </c>
      <c r="H108" s="238" t="s">
        <v>347</v>
      </c>
      <c r="I108" s="238" t="s">
        <v>348</v>
      </c>
      <c r="J108" s="238" t="s">
        <v>352</v>
      </c>
      <c r="K108" s="238" t="s">
        <v>349</v>
      </c>
      <c r="L108" s="238" t="s">
        <v>350</v>
      </c>
      <c r="M108" s="238" t="s">
        <v>351</v>
      </c>
    </row>
    <row r="109" spans="1:13" x14ac:dyDescent="0.25">
      <c r="A109" s="239">
        <f>PersonCalcYr1!C258</f>
        <v>0</v>
      </c>
      <c r="B109" s="240">
        <f>A109/B106</f>
        <v>0</v>
      </c>
      <c r="C109" s="239">
        <f>B109</f>
        <v>0</v>
      </c>
      <c r="D109" s="239">
        <f t="shared" ref="D109:M109" si="23">C109*$E106</f>
        <v>0</v>
      </c>
      <c r="E109" s="239">
        <f t="shared" si="23"/>
        <v>0</v>
      </c>
      <c r="F109" s="239">
        <f t="shared" si="23"/>
        <v>0</v>
      </c>
      <c r="G109" s="239">
        <f t="shared" si="23"/>
        <v>0</v>
      </c>
      <c r="H109" s="239">
        <f t="shared" si="23"/>
        <v>0</v>
      </c>
      <c r="I109" s="239">
        <f t="shared" si="23"/>
        <v>0</v>
      </c>
      <c r="J109" s="239">
        <f t="shared" si="23"/>
        <v>0</v>
      </c>
      <c r="K109" s="239">
        <f t="shared" si="23"/>
        <v>0</v>
      </c>
      <c r="L109" s="239">
        <f t="shared" si="23"/>
        <v>0</v>
      </c>
      <c r="M109" s="239">
        <f t="shared" si="23"/>
        <v>0</v>
      </c>
    </row>
    <row r="110" spans="1:13" x14ac:dyDescent="0.25">
      <c r="A110" s="234" t="s">
        <v>23</v>
      </c>
      <c r="B110" s="235"/>
      <c r="C110" s="235"/>
      <c r="D110" s="235"/>
      <c r="E110" s="235"/>
      <c r="F110" s="235"/>
      <c r="G110" s="235"/>
      <c r="H110" s="235"/>
      <c r="I110" s="235"/>
      <c r="J110" s="235"/>
      <c r="K110" s="235"/>
      <c r="L110" s="235"/>
      <c r="M110" s="235"/>
    </row>
    <row r="111" spans="1:13" x14ac:dyDescent="0.25">
      <c r="A111" s="235" t="s">
        <v>158</v>
      </c>
      <c r="B111" s="235">
        <v>12</v>
      </c>
      <c r="C111" s="236">
        <v>1.02</v>
      </c>
      <c r="D111" s="105">
        <f>_xlfn.IFNA(C111,1)</f>
        <v>1.02</v>
      </c>
      <c r="E111" s="105">
        <f>IF(D111=1,1,C111)</f>
        <v>1.02</v>
      </c>
      <c r="F111" s="235"/>
      <c r="G111" s="235"/>
      <c r="H111" s="235"/>
      <c r="I111" s="235"/>
      <c r="J111" s="235"/>
      <c r="K111" s="235"/>
      <c r="L111" s="235"/>
      <c r="M111" s="235"/>
    </row>
    <row r="112" spans="1:13" x14ac:dyDescent="0.25">
      <c r="A112" s="235"/>
      <c r="B112" s="235"/>
      <c r="C112" s="237"/>
      <c r="D112" s="235"/>
      <c r="E112" s="235"/>
      <c r="F112" s="235"/>
      <c r="G112" s="235"/>
      <c r="H112" s="235"/>
      <c r="I112" s="235"/>
      <c r="J112" s="235"/>
      <c r="K112" s="235"/>
      <c r="L112" s="235"/>
      <c r="M112" s="235"/>
    </row>
    <row r="113" spans="1:13" x14ac:dyDescent="0.25">
      <c r="A113" s="238" t="s">
        <v>341</v>
      </c>
      <c r="B113" s="238" t="s">
        <v>12</v>
      </c>
      <c r="C113" s="238" t="s">
        <v>342</v>
      </c>
      <c r="D113" s="238" t="s">
        <v>343</v>
      </c>
      <c r="E113" s="238" t="s">
        <v>344</v>
      </c>
      <c r="F113" s="238" t="s">
        <v>345</v>
      </c>
      <c r="G113" s="238" t="s">
        <v>346</v>
      </c>
      <c r="H113" s="238" t="s">
        <v>347</v>
      </c>
      <c r="I113" s="238" t="s">
        <v>348</v>
      </c>
      <c r="J113" s="238" t="s">
        <v>352</v>
      </c>
      <c r="K113" s="238" t="s">
        <v>349</v>
      </c>
      <c r="L113" s="238" t="s">
        <v>350</v>
      </c>
      <c r="M113" s="238" t="s">
        <v>351</v>
      </c>
    </row>
    <row r="114" spans="1:13" x14ac:dyDescent="0.25">
      <c r="A114" s="239">
        <f>PersonCalcYr1!C290</f>
        <v>0</v>
      </c>
      <c r="B114" s="240">
        <f>A114/B111</f>
        <v>0</v>
      </c>
      <c r="C114" s="239">
        <f>B114</f>
        <v>0</v>
      </c>
      <c r="D114" s="239">
        <f t="shared" ref="D114:M114" si="24">C114*$E111</f>
        <v>0</v>
      </c>
      <c r="E114" s="239">
        <f t="shared" si="24"/>
        <v>0</v>
      </c>
      <c r="F114" s="239">
        <f t="shared" si="24"/>
        <v>0</v>
      </c>
      <c r="G114" s="239">
        <f t="shared" si="24"/>
        <v>0</v>
      </c>
      <c r="H114" s="239">
        <f t="shared" si="24"/>
        <v>0</v>
      </c>
      <c r="I114" s="239">
        <f t="shared" si="24"/>
        <v>0</v>
      </c>
      <c r="J114" s="239">
        <f t="shared" si="24"/>
        <v>0</v>
      </c>
      <c r="K114" s="239">
        <f t="shared" si="24"/>
        <v>0</v>
      </c>
      <c r="L114" s="239">
        <f t="shared" si="24"/>
        <v>0</v>
      </c>
      <c r="M114" s="239">
        <f t="shared" si="24"/>
        <v>0</v>
      </c>
    </row>
  </sheetData>
  <sheetProtection algorithmName="SHA-512" hashValue="wJ+ts97UrmjsvcyJsfhKlVzPqd+eQ0KoZmU4DaEqT86+qMddgUgDbHRV8ymoj0Bb8/W+7mnFLvK9pQw23zgzLg==" saltValue="FzAODjJX/p/LLhHgiryHVQ==" spinCount="100000" sheet="1" objects="1" scenarios="1"/>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BO151"/>
  <sheetViews>
    <sheetView workbookViewId="0">
      <selection activeCell="C38" sqref="C38"/>
    </sheetView>
  </sheetViews>
  <sheetFormatPr defaultRowHeight="15" x14ac:dyDescent="0.25"/>
  <cols>
    <col min="1" max="1" width="9.140625" customWidth="1"/>
    <col min="2" max="2" width="4.7109375" customWidth="1"/>
    <col min="3" max="3" width="5" bestFit="1" customWidth="1"/>
    <col min="4" max="4" width="4" bestFit="1" customWidth="1"/>
    <col min="5" max="5" width="4.5703125" customWidth="1"/>
    <col min="6" max="6" width="4.7109375" customWidth="1"/>
    <col min="7" max="7" width="5.28515625" customWidth="1"/>
    <col min="8" max="10" width="5" bestFit="1" customWidth="1"/>
    <col min="11" max="11" width="5.5703125" customWidth="1"/>
    <col min="12" max="12" width="5" bestFit="1" customWidth="1"/>
    <col min="13" max="13" width="5.28515625" customWidth="1"/>
    <col min="14" max="15" width="5" bestFit="1" customWidth="1"/>
    <col min="16" max="17" width="4" bestFit="1" customWidth="1"/>
    <col min="18" max="18" width="4.85546875" customWidth="1"/>
    <col min="19" max="20" width="4" bestFit="1" customWidth="1"/>
    <col min="21" max="21" width="5.140625" customWidth="1"/>
    <col min="22" max="22" width="4" bestFit="1" customWidth="1"/>
    <col min="23" max="23" width="5" bestFit="1" customWidth="1"/>
    <col min="24" max="24" width="4.85546875" customWidth="1"/>
    <col min="25" max="25" width="5" bestFit="1" customWidth="1"/>
    <col min="26" max="26" width="4.5703125" bestFit="1" customWidth="1"/>
    <col min="27" max="27" width="4" bestFit="1" customWidth="1"/>
    <col min="28" max="29" width="4.7109375" customWidth="1"/>
    <col min="30" max="39" width="4.28515625" customWidth="1"/>
    <col min="40" max="40" width="4.7109375" customWidth="1"/>
    <col min="41" max="52" width="4.28515625" customWidth="1"/>
    <col min="53" max="53" width="5" customWidth="1"/>
    <col min="54" max="54" width="4.28515625" customWidth="1"/>
    <col min="55" max="55" width="4.7109375" customWidth="1"/>
    <col min="56" max="78" width="4.85546875" customWidth="1"/>
  </cols>
  <sheetData>
    <row r="1" spans="1:56" ht="15.75" thickBot="1" x14ac:dyDescent="0.3">
      <c r="A1" s="2"/>
      <c r="D1" s="6"/>
      <c r="G1" s="6"/>
    </row>
    <row r="2" spans="1:56" x14ac:dyDescent="0.25">
      <c r="A2" s="25" t="s">
        <v>75</v>
      </c>
      <c r="B2" s="47"/>
      <c r="C2" s="23"/>
      <c r="D2" s="23"/>
      <c r="E2" s="23"/>
      <c r="F2" s="23"/>
      <c r="G2" s="23"/>
      <c r="H2" s="23"/>
      <c r="I2" s="23"/>
      <c r="J2" s="23"/>
      <c r="K2" s="48" t="s">
        <v>87</v>
      </c>
      <c r="L2" s="23"/>
      <c r="M2" s="23"/>
      <c r="N2" s="23"/>
      <c r="O2" s="23"/>
      <c r="P2" s="23"/>
      <c r="Q2" s="23"/>
      <c r="R2" s="23"/>
      <c r="S2" s="23"/>
      <c r="T2" s="23"/>
      <c r="U2" s="23"/>
      <c r="V2" s="23"/>
      <c r="W2" s="23"/>
      <c r="X2" s="23"/>
      <c r="Y2" s="23"/>
      <c r="Z2" s="23"/>
      <c r="AA2" s="24"/>
      <c r="AC2" s="81" t="s">
        <v>552</v>
      </c>
      <c r="AD2" s="82"/>
      <c r="AE2" s="83"/>
      <c r="AF2" s="83"/>
      <c r="AG2" s="83"/>
      <c r="AH2" s="83"/>
      <c r="AI2" s="83"/>
      <c r="AJ2" s="83"/>
      <c r="AK2" s="83"/>
      <c r="AL2" s="83"/>
      <c r="AM2" s="84"/>
      <c r="AN2" s="83"/>
      <c r="AO2" s="83"/>
      <c r="AP2" s="83" t="s">
        <v>108</v>
      </c>
      <c r="AQ2" s="83"/>
      <c r="AR2" s="83"/>
      <c r="AS2" s="83"/>
      <c r="AT2" s="83"/>
      <c r="AU2" s="83"/>
      <c r="AV2" s="83"/>
      <c r="AW2" s="85"/>
      <c r="AX2" s="26"/>
      <c r="AY2" s="26"/>
      <c r="AZ2" s="26"/>
      <c r="BA2" s="30"/>
      <c r="BB2" s="26"/>
      <c r="BC2" s="26"/>
    </row>
    <row r="3" spans="1:56" x14ac:dyDescent="0.25">
      <c r="A3" s="49"/>
      <c r="B3" s="33">
        <v>0</v>
      </c>
      <c r="C3" s="33">
        <v>0.5</v>
      </c>
      <c r="D3" s="33">
        <v>1</v>
      </c>
      <c r="E3" s="33">
        <v>1.5</v>
      </c>
      <c r="F3" s="34">
        <v>2</v>
      </c>
      <c r="G3" s="34">
        <v>2.5</v>
      </c>
      <c r="H3" s="34">
        <v>3</v>
      </c>
      <c r="I3" s="34">
        <v>3.5</v>
      </c>
      <c r="J3" s="34">
        <v>4</v>
      </c>
      <c r="K3" s="34">
        <v>4.5</v>
      </c>
      <c r="L3" s="34">
        <v>5</v>
      </c>
      <c r="M3" s="34">
        <v>5.5</v>
      </c>
      <c r="N3" s="34">
        <v>6</v>
      </c>
      <c r="O3" s="34">
        <v>6.5</v>
      </c>
      <c r="P3" s="34">
        <v>7</v>
      </c>
      <c r="Q3" s="34">
        <v>7.5</v>
      </c>
      <c r="R3" s="34">
        <v>8</v>
      </c>
      <c r="S3" s="34">
        <v>8.5</v>
      </c>
      <c r="T3" s="34">
        <v>9</v>
      </c>
      <c r="U3" s="34">
        <v>9.5</v>
      </c>
      <c r="V3" s="34">
        <v>10</v>
      </c>
      <c r="W3" s="34">
        <v>10.5</v>
      </c>
      <c r="X3" s="34">
        <v>11</v>
      </c>
      <c r="Y3" s="34">
        <v>11.5</v>
      </c>
      <c r="Z3" s="34">
        <v>12</v>
      </c>
      <c r="AA3" s="35" t="s">
        <v>71</v>
      </c>
      <c r="AB3" s="32"/>
      <c r="AC3" s="86"/>
      <c r="AD3" s="87">
        <v>0</v>
      </c>
      <c r="AE3" s="87">
        <v>0.5</v>
      </c>
      <c r="AF3" s="87">
        <v>1</v>
      </c>
      <c r="AG3" s="87">
        <v>2</v>
      </c>
      <c r="AH3" s="88">
        <v>3</v>
      </c>
      <c r="AI3" s="88">
        <v>4</v>
      </c>
      <c r="AJ3" s="88">
        <v>5</v>
      </c>
      <c r="AK3" s="88">
        <v>6</v>
      </c>
      <c r="AL3" s="88">
        <v>7</v>
      </c>
      <c r="AM3" s="88">
        <v>8</v>
      </c>
      <c r="AN3" s="88">
        <v>9</v>
      </c>
      <c r="AO3" s="88">
        <v>10</v>
      </c>
      <c r="AP3" s="88">
        <v>11</v>
      </c>
      <c r="AQ3" s="88">
        <v>12</v>
      </c>
      <c r="AR3" s="88">
        <v>13</v>
      </c>
      <c r="AS3" s="88">
        <v>14</v>
      </c>
      <c r="AT3" s="88">
        <v>15</v>
      </c>
      <c r="AU3" s="88">
        <v>16</v>
      </c>
      <c r="AV3" s="88">
        <v>17</v>
      </c>
      <c r="AW3" s="89">
        <v>18</v>
      </c>
      <c r="AX3" s="26"/>
      <c r="AY3" s="30"/>
      <c r="AZ3" s="26"/>
      <c r="BA3" s="30"/>
      <c r="BB3" s="26"/>
      <c r="BC3" s="26"/>
    </row>
    <row r="4" spans="1:56" x14ac:dyDescent="0.25">
      <c r="A4" s="49" t="s">
        <v>89</v>
      </c>
      <c r="B4" s="33"/>
      <c r="C4" s="34"/>
      <c r="D4" s="34"/>
      <c r="E4" s="34"/>
      <c r="F4" s="34"/>
      <c r="G4" s="34"/>
      <c r="H4" s="34"/>
      <c r="I4" s="34"/>
      <c r="J4" s="34"/>
      <c r="K4" s="34"/>
      <c r="L4" s="34"/>
      <c r="M4" s="34"/>
      <c r="N4" s="34"/>
      <c r="O4" s="34"/>
      <c r="P4" s="34"/>
      <c r="Q4" s="34"/>
      <c r="R4" s="34"/>
      <c r="S4" s="34"/>
      <c r="T4" s="34"/>
      <c r="U4" s="34"/>
      <c r="V4" s="34"/>
      <c r="W4" s="34"/>
      <c r="X4" s="34"/>
      <c r="Y4" s="34"/>
      <c r="Z4" s="34"/>
      <c r="AA4" s="35"/>
      <c r="AB4" s="32"/>
      <c r="AC4" s="86"/>
      <c r="AD4" s="87"/>
      <c r="AE4" s="88"/>
      <c r="AF4" s="88"/>
      <c r="AG4" s="88"/>
      <c r="AH4" s="88"/>
      <c r="AI4" s="88"/>
      <c r="AJ4" s="88"/>
      <c r="AK4" s="88"/>
      <c r="AL4" s="88"/>
      <c r="AM4" s="88"/>
      <c r="AN4" s="88"/>
      <c r="AO4" s="88"/>
      <c r="AP4" s="88"/>
      <c r="AQ4" s="88"/>
      <c r="AR4" s="88"/>
      <c r="AS4" s="88"/>
      <c r="AT4" s="88"/>
      <c r="AU4" s="88"/>
      <c r="AV4" s="88"/>
      <c r="AW4" s="89"/>
      <c r="AX4" s="26"/>
      <c r="AY4" s="26"/>
      <c r="AZ4" s="26"/>
      <c r="BA4" s="26"/>
      <c r="BB4" s="26"/>
      <c r="BC4" s="26"/>
    </row>
    <row r="5" spans="1:56" x14ac:dyDescent="0.25">
      <c r="A5" s="50">
        <v>7</v>
      </c>
      <c r="B5" s="33">
        <v>0</v>
      </c>
      <c r="C5" s="34">
        <v>0</v>
      </c>
      <c r="D5" s="34">
        <v>0</v>
      </c>
      <c r="E5" s="34">
        <v>0</v>
      </c>
      <c r="F5" s="34">
        <v>0</v>
      </c>
      <c r="G5" s="34">
        <v>0</v>
      </c>
      <c r="H5" s="34">
        <v>0</v>
      </c>
      <c r="I5" s="34">
        <v>0</v>
      </c>
      <c r="J5" s="34">
        <v>0</v>
      </c>
      <c r="K5" s="34">
        <v>0</v>
      </c>
      <c r="L5" s="501">
        <v>0.5161</v>
      </c>
      <c r="M5" s="501">
        <v>1</v>
      </c>
      <c r="N5" s="501">
        <v>1.5161</v>
      </c>
      <c r="O5" s="501">
        <v>1.5161</v>
      </c>
      <c r="P5" s="501">
        <v>1.5161</v>
      </c>
      <c r="Q5" s="501">
        <v>1.5161</v>
      </c>
      <c r="R5" s="501">
        <v>1.5161</v>
      </c>
      <c r="S5" s="501">
        <v>1.5161</v>
      </c>
      <c r="T5" s="501">
        <v>1.5161</v>
      </c>
      <c r="U5" s="501">
        <v>1.5161</v>
      </c>
      <c r="V5" s="501">
        <v>1.5161</v>
      </c>
      <c r="W5" s="501">
        <v>1.5161</v>
      </c>
      <c r="X5" s="501">
        <v>1.5161</v>
      </c>
      <c r="Y5" s="501">
        <v>1.5161</v>
      </c>
      <c r="Z5" s="501">
        <v>1.5161</v>
      </c>
      <c r="AA5" s="501">
        <v>1.5161</v>
      </c>
      <c r="AB5" s="32" t="s">
        <v>0</v>
      </c>
      <c r="AC5" s="90">
        <v>7</v>
      </c>
      <c r="AD5" s="87">
        <v>0</v>
      </c>
      <c r="AE5" s="88">
        <v>0</v>
      </c>
      <c r="AF5" s="88">
        <v>1</v>
      </c>
      <c r="AG5" s="88">
        <v>2</v>
      </c>
      <c r="AH5" s="88">
        <v>3</v>
      </c>
      <c r="AI5" s="88">
        <v>4</v>
      </c>
      <c r="AJ5" s="88">
        <v>5</v>
      </c>
      <c r="AK5" s="75">
        <v>6</v>
      </c>
      <c r="AL5" s="75">
        <v>6</v>
      </c>
      <c r="AM5" s="75">
        <v>6</v>
      </c>
      <c r="AN5" s="75">
        <v>6</v>
      </c>
      <c r="AO5" s="75">
        <v>6</v>
      </c>
      <c r="AP5" s="75">
        <v>6</v>
      </c>
      <c r="AQ5" s="75">
        <v>6</v>
      </c>
      <c r="AR5" s="75">
        <v>6</v>
      </c>
      <c r="AS5" s="75">
        <v>6</v>
      </c>
      <c r="AT5" s="75">
        <v>6</v>
      </c>
      <c r="AU5" s="75">
        <v>6</v>
      </c>
      <c r="AV5" s="75">
        <v>6</v>
      </c>
      <c r="AW5" s="76">
        <v>6</v>
      </c>
      <c r="AX5" s="26"/>
      <c r="AY5" s="26"/>
      <c r="AZ5" s="26"/>
      <c r="BA5" s="26"/>
      <c r="BB5" s="30"/>
      <c r="BC5" s="26"/>
    </row>
    <row r="6" spans="1:56" x14ac:dyDescent="0.25">
      <c r="A6" s="50">
        <v>8</v>
      </c>
      <c r="B6" s="33">
        <v>0</v>
      </c>
      <c r="C6" s="34">
        <v>0</v>
      </c>
      <c r="D6" s="34">
        <v>0</v>
      </c>
      <c r="E6" s="34">
        <v>0</v>
      </c>
      <c r="F6" s="34">
        <v>0</v>
      </c>
      <c r="G6" s="34">
        <v>0</v>
      </c>
      <c r="H6" s="34">
        <v>0</v>
      </c>
      <c r="I6" s="34">
        <v>0</v>
      </c>
      <c r="J6" s="501">
        <v>0.5161</v>
      </c>
      <c r="K6" s="501">
        <v>1</v>
      </c>
      <c r="L6" s="501">
        <v>1.5161</v>
      </c>
      <c r="M6" s="501">
        <v>1.5161</v>
      </c>
      <c r="N6" s="501">
        <v>1.5161</v>
      </c>
      <c r="O6" s="501">
        <v>1.5161</v>
      </c>
      <c r="P6" s="501">
        <v>1.5161</v>
      </c>
      <c r="Q6" s="501">
        <v>1.5161</v>
      </c>
      <c r="R6" s="501">
        <v>1.5161</v>
      </c>
      <c r="S6" s="501">
        <v>1.5161</v>
      </c>
      <c r="T6" s="501">
        <v>1.5161</v>
      </c>
      <c r="U6" s="501">
        <v>1.5161</v>
      </c>
      <c r="V6" s="501">
        <v>1.5161</v>
      </c>
      <c r="W6" s="501">
        <v>1.5161</v>
      </c>
      <c r="X6" s="501">
        <v>1.5161</v>
      </c>
      <c r="Y6" s="501">
        <v>1.5161</v>
      </c>
      <c r="Z6" s="501">
        <v>1.5161</v>
      </c>
      <c r="AA6" s="501">
        <v>1.5161</v>
      </c>
      <c r="AB6" s="32" t="s">
        <v>1</v>
      </c>
      <c r="AC6" s="90">
        <v>8</v>
      </c>
      <c r="AD6" s="87">
        <v>0</v>
      </c>
      <c r="AE6" s="88">
        <v>0</v>
      </c>
      <c r="AF6" s="88">
        <v>1</v>
      </c>
      <c r="AG6" s="88">
        <v>2</v>
      </c>
      <c r="AH6" s="88">
        <v>3</v>
      </c>
      <c r="AI6" s="88">
        <v>4</v>
      </c>
      <c r="AJ6" s="75">
        <v>5</v>
      </c>
      <c r="AK6" s="75">
        <v>5</v>
      </c>
      <c r="AL6" s="75">
        <v>5</v>
      </c>
      <c r="AM6" s="75">
        <v>5</v>
      </c>
      <c r="AN6" s="75">
        <v>5</v>
      </c>
      <c r="AO6" s="75">
        <v>5</v>
      </c>
      <c r="AP6" s="75">
        <v>5</v>
      </c>
      <c r="AQ6" s="75">
        <v>5</v>
      </c>
      <c r="AR6" s="75">
        <v>5</v>
      </c>
      <c r="AS6" s="75">
        <v>5</v>
      </c>
      <c r="AT6" s="75">
        <v>5</v>
      </c>
      <c r="AU6" s="75">
        <v>5</v>
      </c>
      <c r="AV6" s="75">
        <v>5</v>
      </c>
      <c r="AW6" s="76">
        <v>5</v>
      </c>
      <c r="AX6" s="26"/>
      <c r="AY6" s="26"/>
      <c r="AZ6" s="26"/>
      <c r="BA6" s="26"/>
      <c r="BB6" s="30"/>
      <c r="BC6" s="26"/>
    </row>
    <row r="7" spans="1:56" x14ac:dyDescent="0.25">
      <c r="A7" s="50">
        <v>9</v>
      </c>
      <c r="B7" s="33">
        <v>0</v>
      </c>
      <c r="C7" s="34">
        <v>0</v>
      </c>
      <c r="D7" s="34">
        <v>0</v>
      </c>
      <c r="E7" s="34">
        <v>0</v>
      </c>
      <c r="F7" s="34">
        <v>0</v>
      </c>
      <c r="G7" s="34">
        <v>0</v>
      </c>
      <c r="H7" s="501">
        <v>0.5161</v>
      </c>
      <c r="I7" s="501">
        <v>1</v>
      </c>
      <c r="J7" s="501">
        <v>1.5161</v>
      </c>
      <c r="K7" s="501">
        <v>1.5161</v>
      </c>
      <c r="L7" s="501">
        <v>1.5161</v>
      </c>
      <c r="M7" s="501">
        <v>1.5161</v>
      </c>
      <c r="N7" s="501">
        <v>1.5161</v>
      </c>
      <c r="O7" s="501">
        <v>1.5161</v>
      </c>
      <c r="P7" s="501">
        <v>1.5161</v>
      </c>
      <c r="Q7" s="501">
        <v>1.5161</v>
      </c>
      <c r="R7" s="501">
        <v>1.5161</v>
      </c>
      <c r="S7" s="501">
        <v>1.5161</v>
      </c>
      <c r="T7" s="501">
        <v>1.5161</v>
      </c>
      <c r="U7" s="501">
        <v>1.5161</v>
      </c>
      <c r="V7" s="501">
        <v>1.5161</v>
      </c>
      <c r="W7" s="501">
        <v>1.5161</v>
      </c>
      <c r="X7" s="501">
        <v>1.5161</v>
      </c>
      <c r="Y7" s="501">
        <v>1.5161</v>
      </c>
      <c r="Z7" s="501">
        <v>1.5161</v>
      </c>
      <c r="AA7" s="501">
        <v>1.5161</v>
      </c>
      <c r="AB7" s="32" t="s">
        <v>2</v>
      </c>
      <c r="AC7" s="90">
        <v>9</v>
      </c>
      <c r="AD7" s="87">
        <v>0</v>
      </c>
      <c r="AE7" s="88">
        <v>0</v>
      </c>
      <c r="AF7" s="88">
        <v>1</v>
      </c>
      <c r="AG7" s="88">
        <v>2</v>
      </c>
      <c r="AH7" s="88">
        <v>3</v>
      </c>
      <c r="AI7" s="75">
        <v>4</v>
      </c>
      <c r="AJ7" s="75">
        <v>4</v>
      </c>
      <c r="AK7" s="75">
        <v>4</v>
      </c>
      <c r="AL7" s="75">
        <v>4</v>
      </c>
      <c r="AM7" s="75">
        <v>4</v>
      </c>
      <c r="AN7" s="75">
        <v>4</v>
      </c>
      <c r="AO7" s="75">
        <v>4</v>
      </c>
      <c r="AP7" s="75">
        <v>4</v>
      </c>
      <c r="AQ7" s="75">
        <v>4</v>
      </c>
      <c r="AR7" s="75">
        <v>4</v>
      </c>
      <c r="AS7" s="75">
        <v>4</v>
      </c>
      <c r="AT7" s="75">
        <v>4</v>
      </c>
      <c r="AU7" s="75">
        <v>4</v>
      </c>
      <c r="AV7" s="75">
        <v>4</v>
      </c>
      <c r="AW7" s="76">
        <v>4</v>
      </c>
      <c r="AX7" s="26"/>
      <c r="AY7" s="26"/>
      <c r="AZ7" s="26"/>
      <c r="BA7" s="26"/>
      <c r="BB7" s="26"/>
      <c r="BC7" s="26"/>
    </row>
    <row r="8" spans="1:56" x14ac:dyDescent="0.25">
      <c r="A8" s="50">
        <v>10</v>
      </c>
      <c r="B8" s="33">
        <v>0</v>
      </c>
      <c r="C8" s="34">
        <v>0</v>
      </c>
      <c r="D8" s="34">
        <v>0</v>
      </c>
      <c r="E8" s="34">
        <v>0</v>
      </c>
      <c r="F8" s="501">
        <v>0.5161</v>
      </c>
      <c r="G8" s="501">
        <v>1</v>
      </c>
      <c r="H8" s="501">
        <v>1.5161</v>
      </c>
      <c r="I8" s="501">
        <v>1.5161</v>
      </c>
      <c r="J8" s="501">
        <v>1.5161</v>
      </c>
      <c r="K8" s="501">
        <v>1.5161</v>
      </c>
      <c r="L8" s="501">
        <v>1.5161</v>
      </c>
      <c r="M8" s="501">
        <v>1.5161</v>
      </c>
      <c r="N8" s="501">
        <v>1.5161</v>
      </c>
      <c r="O8" s="501">
        <v>1.5161</v>
      </c>
      <c r="P8" s="501">
        <v>1.5161</v>
      </c>
      <c r="Q8" s="501">
        <v>1.5161</v>
      </c>
      <c r="R8" s="501">
        <v>1.5161</v>
      </c>
      <c r="S8" s="501">
        <v>1.5161</v>
      </c>
      <c r="T8" s="501">
        <v>1.5161</v>
      </c>
      <c r="U8" s="501">
        <v>1.5161</v>
      </c>
      <c r="V8" s="501">
        <v>1.5161</v>
      </c>
      <c r="W8" s="501">
        <v>1.5161</v>
      </c>
      <c r="X8" s="501">
        <v>1.5161</v>
      </c>
      <c r="Y8" s="501">
        <v>1.5161</v>
      </c>
      <c r="Z8" s="501">
        <v>1.5161</v>
      </c>
      <c r="AA8" s="501">
        <v>1.5161</v>
      </c>
      <c r="AB8" s="32" t="s">
        <v>3</v>
      </c>
      <c r="AC8" s="90">
        <v>10</v>
      </c>
      <c r="AD8" s="87">
        <v>0</v>
      </c>
      <c r="AE8" s="88">
        <v>0</v>
      </c>
      <c r="AF8" s="88">
        <v>1</v>
      </c>
      <c r="AG8" s="88">
        <v>2</v>
      </c>
      <c r="AH8" s="75">
        <v>3</v>
      </c>
      <c r="AI8" s="75">
        <v>3</v>
      </c>
      <c r="AJ8" s="75">
        <v>3</v>
      </c>
      <c r="AK8" s="75">
        <v>3</v>
      </c>
      <c r="AL8" s="75">
        <v>3</v>
      </c>
      <c r="AM8" s="75">
        <v>3</v>
      </c>
      <c r="AN8" s="75">
        <v>3</v>
      </c>
      <c r="AO8" s="75">
        <v>3</v>
      </c>
      <c r="AP8" s="75">
        <v>3</v>
      </c>
      <c r="AQ8" s="75">
        <v>3</v>
      </c>
      <c r="AR8" s="75">
        <v>3</v>
      </c>
      <c r="AS8" s="75">
        <v>3</v>
      </c>
      <c r="AT8" s="75">
        <v>3</v>
      </c>
      <c r="AU8" s="75">
        <v>3</v>
      </c>
      <c r="AV8" s="75">
        <v>3</v>
      </c>
      <c r="AW8" s="76">
        <v>3</v>
      </c>
      <c r="AX8" s="26"/>
      <c r="AY8" s="26"/>
      <c r="AZ8" s="26"/>
      <c r="BA8" s="26"/>
      <c r="BB8" s="26"/>
      <c r="BC8" s="26"/>
    </row>
    <row r="9" spans="1:56" x14ac:dyDescent="0.25">
      <c r="A9" s="50">
        <v>11</v>
      </c>
      <c r="B9" s="33">
        <v>0</v>
      </c>
      <c r="C9" s="34">
        <v>0</v>
      </c>
      <c r="D9" s="501">
        <v>0.5161</v>
      </c>
      <c r="E9" s="501">
        <v>1</v>
      </c>
      <c r="F9" s="501">
        <v>1.5161</v>
      </c>
      <c r="G9" s="501">
        <v>1.5161</v>
      </c>
      <c r="H9" s="501">
        <v>1.5161</v>
      </c>
      <c r="I9" s="501">
        <v>1.5161</v>
      </c>
      <c r="J9" s="501">
        <v>1.5161</v>
      </c>
      <c r="K9" s="501">
        <v>1.5161</v>
      </c>
      <c r="L9" s="501">
        <v>1.5161</v>
      </c>
      <c r="M9" s="501">
        <v>1.5161</v>
      </c>
      <c r="N9" s="501">
        <v>1.5161</v>
      </c>
      <c r="O9" s="501">
        <v>1.5161</v>
      </c>
      <c r="P9" s="501">
        <v>1.5161</v>
      </c>
      <c r="Q9" s="501">
        <v>1.5161</v>
      </c>
      <c r="R9" s="501">
        <v>1.5161</v>
      </c>
      <c r="S9" s="501">
        <v>1.5161</v>
      </c>
      <c r="T9" s="501">
        <v>1.5161</v>
      </c>
      <c r="U9" s="501">
        <v>1.5161</v>
      </c>
      <c r="V9" s="501">
        <v>1.5161</v>
      </c>
      <c r="W9" s="501">
        <v>1.5161</v>
      </c>
      <c r="X9" s="501">
        <v>1.5161</v>
      </c>
      <c r="Y9" s="501">
        <v>1.5161</v>
      </c>
      <c r="Z9" s="501">
        <v>1.5161</v>
      </c>
      <c r="AA9" s="501">
        <v>1.5161</v>
      </c>
      <c r="AB9" s="32" t="s">
        <v>4</v>
      </c>
      <c r="AC9" s="90">
        <v>11</v>
      </c>
      <c r="AD9" s="87">
        <v>0</v>
      </c>
      <c r="AE9" s="88">
        <v>0</v>
      </c>
      <c r="AF9" s="88">
        <v>1</v>
      </c>
      <c r="AG9" s="75">
        <v>2</v>
      </c>
      <c r="AH9" s="75">
        <v>2</v>
      </c>
      <c r="AI9" s="75">
        <v>2</v>
      </c>
      <c r="AJ9" s="75">
        <v>2</v>
      </c>
      <c r="AK9" s="75">
        <v>2</v>
      </c>
      <c r="AL9" s="75">
        <v>2</v>
      </c>
      <c r="AM9" s="75">
        <v>2</v>
      </c>
      <c r="AN9" s="75">
        <v>2</v>
      </c>
      <c r="AO9" s="75">
        <v>2</v>
      </c>
      <c r="AP9" s="75">
        <v>2</v>
      </c>
      <c r="AQ9" s="75">
        <v>2</v>
      </c>
      <c r="AR9" s="75">
        <v>2</v>
      </c>
      <c r="AS9" s="75">
        <v>2</v>
      </c>
      <c r="AT9" s="75">
        <v>2</v>
      </c>
      <c r="AU9" s="75">
        <v>2</v>
      </c>
      <c r="AV9" s="75">
        <v>2</v>
      </c>
      <c r="AW9" s="76">
        <v>2</v>
      </c>
      <c r="AX9" s="26"/>
      <c r="AY9" s="26"/>
      <c r="AZ9" s="26"/>
      <c r="BA9" s="26"/>
      <c r="BB9" s="26"/>
      <c r="BC9" s="26"/>
    </row>
    <row r="10" spans="1:56" ht="15.75" thickBot="1" x14ac:dyDescent="0.3">
      <c r="A10" s="49">
        <v>12</v>
      </c>
      <c r="B10" s="502">
        <v>0</v>
      </c>
      <c r="C10" s="503">
        <v>0.5161</v>
      </c>
      <c r="D10" s="503">
        <v>1</v>
      </c>
      <c r="E10" s="503">
        <v>1</v>
      </c>
      <c r="F10" s="503">
        <v>1</v>
      </c>
      <c r="G10" s="503">
        <v>1</v>
      </c>
      <c r="H10" s="503">
        <v>1</v>
      </c>
      <c r="I10" s="503">
        <v>1</v>
      </c>
      <c r="J10" s="503">
        <v>1</v>
      </c>
      <c r="K10" s="503">
        <v>1</v>
      </c>
      <c r="L10" s="503">
        <v>1</v>
      </c>
      <c r="M10" s="503">
        <v>1</v>
      </c>
      <c r="N10" s="503">
        <v>1</v>
      </c>
      <c r="O10" s="503">
        <v>1</v>
      </c>
      <c r="P10" s="503">
        <v>1</v>
      </c>
      <c r="Q10" s="503">
        <v>1</v>
      </c>
      <c r="R10" s="503">
        <v>1</v>
      </c>
      <c r="S10" s="503">
        <v>1</v>
      </c>
      <c r="T10" s="503">
        <v>1</v>
      </c>
      <c r="U10" s="503">
        <v>1</v>
      </c>
      <c r="V10" s="503">
        <v>1</v>
      </c>
      <c r="W10" s="503">
        <v>1</v>
      </c>
      <c r="X10" s="503">
        <v>1</v>
      </c>
      <c r="Y10" s="503">
        <v>1</v>
      </c>
      <c r="Z10" s="503">
        <v>1</v>
      </c>
      <c r="AA10" s="504">
        <v>1</v>
      </c>
      <c r="AB10" s="32" t="s">
        <v>5</v>
      </c>
      <c r="AC10" s="86">
        <v>12</v>
      </c>
      <c r="AD10" s="87">
        <v>0</v>
      </c>
      <c r="AE10" s="88">
        <v>0</v>
      </c>
      <c r="AF10" s="75">
        <v>1</v>
      </c>
      <c r="AG10" s="75">
        <v>1</v>
      </c>
      <c r="AH10" s="75">
        <v>1</v>
      </c>
      <c r="AI10" s="75">
        <v>1</v>
      </c>
      <c r="AJ10" s="75">
        <v>1</v>
      </c>
      <c r="AK10" s="75">
        <v>1</v>
      </c>
      <c r="AL10" s="75">
        <v>1</v>
      </c>
      <c r="AM10" s="75">
        <v>1</v>
      </c>
      <c r="AN10" s="75">
        <v>1</v>
      </c>
      <c r="AO10" s="75">
        <v>1</v>
      </c>
      <c r="AP10" s="75">
        <v>1</v>
      </c>
      <c r="AQ10" s="75">
        <v>1</v>
      </c>
      <c r="AR10" s="75">
        <v>1</v>
      </c>
      <c r="AS10" s="75">
        <v>1</v>
      </c>
      <c r="AT10" s="75">
        <v>1</v>
      </c>
      <c r="AU10" s="75">
        <v>1</v>
      </c>
      <c r="AV10" s="75">
        <v>1</v>
      </c>
      <c r="AW10" s="76">
        <v>1</v>
      </c>
      <c r="AX10" s="26"/>
      <c r="AY10" s="26"/>
      <c r="AZ10" s="26"/>
      <c r="BA10" s="26"/>
      <c r="BB10" s="26"/>
      <c r="BC10" s="26"/>
    </row>
    <row r="11" spans="1:56" x14ac:dyDescent="0.25">
      <c r="A11" s="50">
        <v>1</v>
      </c>
      <c r="B11" s="505">
        <v>0</v>
      </c>
      <c r="C11" s="501">
        <v>0.4839</v>
      </c>
      <c r="D11" s="501">
        <v>1</v>
      </c>
      <c r="E11" s="501">
        <v>1.4839</v>
      </c>
      <c r="F11" s="501">
        <v>1.4839</v>
      </c>
      <c r="G11" s="501">
        <v>1.4839</v>
      </c>
      <c r="H11" s="501">
        <v>1.4839</v>
      </c>
      <c r="I11" s="501">
        <v>1.4839</v>
      </c>
      <c r="J11" s="501">
        <v>1.4839</v>
      </c>
      <c r="K11" s="501">
        <v>1.4839</v>
      </c>
      <c r="L11" s="501">
        <v>1.4839</v>
      </c>
      <c r="M11" s="501">
        <v>1.4839</v>
      </c>
      <c r="N11" s="501">
        <v>1.4839</v>
      </c>
      <c r="O11" s="501">
        <v>1.4839</v>
      </c>
      <c r="P11" s="501">
        <v>1.4839</v>
      </c>
      <c r="Q11" s="501">
        <v>1.4839</v>
      </c>
      <c r="R11" s="501">
        <v>1.4839</v>
      </c>
      <c r="S11" s="501">
        <v>1.4839</v>
      </c>
      <c r="T11" s="501">
        <v>1.4839</v>
      </c>
      <c r="U11" s="501">
        <v>1.4839</v>
      </c>
      <c r="V11" s="501">
        <v>1.4839</v>
      </c>
      <c r="W11" s="501">
        <v>1.4839</v>
      </c>
      <c r="X11" s="501">
        <v>2</v>
      </c>
      <c r="Y11" s="501">
        <v>2.5</v>
      </c>
      <c r="Z11" s="505">
        <v>3</v>
      </c>
      <c r="AA11" s="506">
        <v>3</v>
      </c>
      <c r="AB11" s="32" t="s">
        <v>6</v>
      </c>
      <c r="AC11" s="91">
        <v>1</v>
      </c>
      <c r="AD11" s="92">
        <v>0</v>
      </c>
      <c r="AE11" s="93">
        <v>0</v>
      </c>
      <c r="AF11" s="93">
        <v>1</v>
      </c>
      <c r="AG11" s="93">
        <v>2</v>
      </c>
      <c r="AH11" s="93">
        <v>3</v>
      </c>
      <c r="AI11" s="93">
        <v>4</v>
      </c>
      <c r="AJ11" s="93">
        <v>5</v>
      </c>
      <c r="AK11" s="93">
        <v>6</v>
      </c>
      <c r="AL11" s="93">
        <v>7</v>
      </c>
      <c r="AM11" s="93">
        <v>8</v>
      </c>
      <c r="AN11" s="93">
        <v>9</v>
      </c>
      <c r="AO11" s="93">
        <v>10</v>
      </c>
      <c r="AP11" s="93">
        <v>11</v>
      </c>
      <c r="AQ11" s="77">
        <v>12</v>
      </c>
      <c r="AR11" s="77">
        <v>12</v>
      </c>
      <c r="AS11" s="77">
        <v>12</v>
      </c>
      <c r="AT11" s="77">
        <v>12</v>
      </c>
      <c r="AU11" s="77">
        <v>12</v>
      </c>
      <c r="AV11" s="77">
        <v>12</v>
      </c>
      <c r="AW11" s="78">
        <v>12</v>
      </c>
      <c r="AX11" s="26"/>
      <c r="AY11" s="26"/>
      <c r="AZ11" s="26"/>
      <c r="BA11" s="26"/>
      <c r="BB11" s="30"/>
      <c r="BC11" s="26"/>
    </row>
    <row r="12" spans="1:56" x14ac:dyDescent="0.25">
      <c r="A12" s="50">
        <v>2</v>
      </c>
      <c r="B12" s="33">
        <v>0</v>
      </c>
      <c r="C12" s="34">
        <v>0</v>
      </c>
      <c r="D12" s="501">
        <v>0.4839</v>
      </c>
      <c r="E12" s="501">
        <v>0.4839</v>
      </c>
      <c r="F12" s="501">
        <v>0.4839</v>
      </c>
      <c r="G12" s="501">
        <v>0.4839</v>
      </c>
      <c r="H12" s="501">
        <v>0.4839</v>
      </c>
      <c r="I12" s="501">
        <v>0.4839</v>
      </c>
      <c r="J12" s="501">
        <v>0.4839</v>
      </c>
      <c r="K12" s="501">
        <v>0.4839</v>
      </c>
      <c r="L12" s="501">
        <v>0.4839</v>
      </c>
      <c r="M12" s="501">
        <v>0.4839</v>
      </c>
      <c r="N12" s="501">
        <v>0.4839</v>
      </c>
      <c r="O12" s="501">
        <v>0.4839</v>
      </c>
      <c r="P12" s="501">
        <v>0.4839</v>
      </c>
      <c r="Q12" s="501">
        <v>0.4839</v>
      </c>
      <c r="R12" s="501">
        <v>0.4839</v>
      </c>
      <c r="S12" s="501">
        <v>0.4839</v>
      </c>
      <c r="T12" s="501">
        <v>0.4839</v>
      </c>
      <c r="U12" s="501">
        <v>0.4839</v>
      </c>
      <c r="V12" s="501">
        <v>1</v>
      </c>
      <c r="W12" s="501">
        <v>1.5</v>
      </c>
      <c r="X12" s="501">
        <v>2</v>
      </c>
      <c r="Y12" s="501">
        <v>2</v>
      </c>
      <c r="Z12" s="505">
        <v>2</v>
      </c>
      <c r="AA12" s="506">
        <v>2</v>
      </c>
      <c r="AB12" s="32" t="s">
        <v>7</v>
      </c>
      <c r="AC12" s="90">
        <v>2</v>
      </c>
      <c r="AD12" s="87">
        <v>0</v>
      </c>
      <c r="AE12" s="88">
        <v>0</v>
      </c>
      <c r="AF12" s="88">
        <v>1</v>
      </c>
      <c r="AG12" s="88">
        <v>2</v>
      </c>
      <c r="AH12" s="88">
        <v>3</v>
      </c>
      <c r="AI12" s="88">
        <v>4</v>
      </c>
      <c r="AJ12" s="88">
        <v>5</v>
      </c>
      <c r="AK12" s="88">
        <v>6</v>
      </c>
      <c r="AL12" s="88">
        <v>7</v>
      </c>
      <c r="AM12" s="88">
        <v>8</v>
      </c>
      <c r="AN12" s="88">
        <v>9</v>
      </c>
      <c r="AO12" s="88">
        <v>10</v>
      </c>
      <c r="AP12" s="75">
        <v>11</v>
      </c>
      <c r="AQ12" s="75">
        <v>11</v>
      </c>
      <c r="AR12" s="75">
        <v>11</v>
      </c>
      <c r="AS12" s="75">
        <v>11</v>
      </c>
      <c r="AT12" s="75">
        <v>11</v>
      </c>
      <c r="AU12" s="75">
        <v>11</v>
      </c>
      <c r="AV12" s="75">
        <v>11</v>
      </c>
      <c r="AW12" s="76">
        <v>11</v>
      </c>
      <c r="AX12" s="26"/>
      <c r="AY12" s="26"/>
      <c r="AZ12" s="26"/>
      <c r="BA12" s="26"/>
      <c r="BB12" s="30"/>
      <c r="BC12" s="26"/>
    </row>
    <row r="13" spans="1:56" x14ac:dyDescent="0.25">
      <c r="A13" s="50">
        <v>3</v>
      </c>
      <c r="B13" s="33">
        <v>0</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501">
        <v>0.5161</v>
      </c>
      <c r="U13" s="501">
        <v>1</v>
      </c>
      <c r="V13" s="501">
        <v>1.5161</v>
      </c>
      <c r="W13" s="501">
        <v>1.5161</v>
      </c>
      <c r="X13" s="501">
        <v>1.5161</v>
      </c>
      <c r="Y13" s="501">
        <v>1.5161</v>
      </c>
      <c r="Z13" s="501">
        <v>1.5161</v>
      </c>
      <c r="AA13" s="501">
        <v>1.5161</v>
      </c>
      <c r="AB13" s="32" t="s">
        <v>8</v>
      </c>
      <c r="AC13" s="90">
        <v>3</v>
      </c>
      <c r="AD13" s="87">
        <v>0</v>
      </c>
      <c r="AE13" s="88">
        <v>0</v>
      </c>
      <c r="AF13" s="88">
        <v>1</v>
      </c>
      <c r="AG13" s="88">
        <v>2</v>
      </c>
      <c r="AH13" s="88">
        <v>3</v>
      </c>
      <c r="AI13" s="88">
        <v>4</v>
      </c>
      <c r="AJ13" s="88">
        <v>5</v>
      </c>
      <c r="AK13" s="88">
        <v>6</v>
      </c>
      <c r="AL13" s="88">
        <v>7</v>
      </c>
      <c r="AM13" s="88">
        <v>8</v>
      </c>
      <c r="AN13" s="88">
        <v>9</v>
      </c>
      <c r="AO13" s="75">
        <v>10</v>
      </c>
      <c r="AP13" s="75">
        <v>10</v>
      </c>
      <c r="AQ13" s="75">
        <v>10</v>
      </c>
      <c r="AR13" s="75">
        <v>10</v>
      </c>
      <c r="AS13" s="75">
        <v>10</v>
      </c>
      <c r="AT13" s="75">
        <v>10</v>
      </c>
      <c r="AU13" s="75">
        <v>10</v>
      </c>
      <c r="AV13" s="75">
        <v>10</v>
      </c>
      <c r="AW13" s="76">
        <v>10</v>
      </c>
      <c r="AX13" s="26"/>
      <c r="AY13" s="26"/>
      <c r="AZ13" s="26"/>
      <c r="BA13" s="26"/>
      <c r="BB13" s="30"/>
      <c r="BC13" s="26"/>
    </row>
    <row r="14" spans="1:56" x14ac:dyDescent="0.25">
      <c r="A14" s="50">
        <v>4</v>
      </c>
      <c r="B14" s="33">
        <v>0</v>
      </c>
      <c r="C14" s="34">
        <v>0</v>
      </c>
      <c r="D14" s="34">
        <v>0</v>
      </c>
      <c r="E14" s="34">
        <v>0</v>
      </c>
      <c r="F14" s="34">
        <v>0</v>
      </c>
      <c r="G14" s="34">
        <v>0</v>
      </c>
      <c r="H14" s="34">
        <v>0</v>
      </c>
      <c r="I14" s="34">
        <v>0</v>
      </c>
      <c r="J14" s="34">
        <v>0</v>
      </c>
      <c r="K14" s="34">
        <v>0</v>
      </c>
      <c r="L14" s="34">
        <v>0</v>
      </c>
      <c r="M14" s="34">
        <v>0</v>
      </c>
      <c r="N14" s="34">
        <v>0</v>
      </c>
      <c r="O14" s="34">
        <v>0</v>
      </c>
      <c r="P14" s="34">
        <v>0</v>
      </c>
      <c r="Q14" s="34">
        <v>0</v>
      </c>
      <c r="R14" s="501">
        <v>0.5161</v>
      </c>
      <c r="S14" s="501">
        <v>1</v>
      </c>
      <c r="T14" s="501">
        <v>1.5161</v>
      </c>
      <c r="U14" s="501">
        <v>1.5161</v>
      </c>
      <c r="V14" s="501">
        <v>1.5161</v>
      </c>
      <c r="W14" s="501">
        <v>1.5161</v>
      </c>
      <c r="X14" s="501">
        <v>1.5161</v>
      </c>
      <c r="Y14" s="501">
        <v>1.5161</v>
      </c>
      <c r="Z14" s="501">
        <v>1.5161</v>
      </c>
      <c r="AA14" s="501">
        <v>1.5161</v>
      </c>
      <c r="AB14" s="32" t="s">
        <v>9</v>
      </c>
      <c r="AC14" s="90">
        <v>4</v>
      </c>
      <c r="AD14" s="87">
        <v>0</v>
      </c>
      <c r="AE14" s="88">
        <v>0</v>
      </c>
      <c r="AF14" s="88">
        <v>1</v>
      </c>
      <c r="AG14" s="88">
        <v>2</v>
      </c>
      <c r="AH14" s="88">
        <v>3</v>
      </c>
      <c r="AI14" s="88">
        <v>4</v>
      </c>
      <c r="AJ14" s="88">
        <v>5</v>
      </c>
      <c r="AK14" s="88">
        <v>6</v>
      </c>
      <c r="AL14" s="88">
        <v>7</v>
      </c>
      <c r="AM14" s="88">
        <v>8</v>
      </c>
      <c r="AN14" s="75">
        <v>9</v>
      </c>
      <c r="AO14" s="75">
        <v>9</v>
      </c>
      <c r="AP14" s="75">
        <v>9</v>
      </c>
      <c r="AQ14" s="75">
        <v>9</v>
      </c>
      <c r="AR14" s="75">
        <v>9</v>
      </c>
      <c r="AS14" s="75">
        <v>9</v>
      </c>
      <c r="AT14" s="75">
        <v>9</v>
      </c>
      <c r="AU14" s="75">
        <v>9</v>
      </c>
      <c r="AV14" s="75">
        <v>9</v>
      </c>
      <c r="AW14" s="76">
        <v>9</v>
      </c>
      <c r="AX14" s="26"/>
      <c r="AY14" s="26"/>
      <c r="AZ14" s="26"/>
      <c r="BA14" s="26"/>
      <c r="BB14" s="26"/>
      <c r="BC14" s="26"/>
    </row>
    <row r="15" spans="1:56" x14ac:dyDescent="0.25">
      <c r="A15" s="50">
        <v>5</v>
      </c>
      <c r="B15" s="33">
        <v>0</v>
      </c>
      <c r="C15" s="34">
        <v>0</v>
      </c>
      <c r="D15" s="34">
        <v>0</v>
      </c>
      <c r="E15" s="34">
        <v>0</v>
      </c>
      <c r="F15" s="34">
        <v>0</v>
      </c>
      <c r="G15" s="34">
        <v>0</v>
      </c>
      <c r="H15" s="34">
        <v>0</v>
      </c>
      <c r="I15" s="34">
        <v>0</v>
      </c>
      <c r="J15" s="34">
        <v>0</v>
      </c>
      <c r="K15" s="34">
        <v>0</v>
      </c>
      <c r="L15" s="34">
        <v>0</v>
      </c>
      <c r="M15" s="34">
        <v>0</v>
      </c>
      <c r="N15" s="34">
        <v>0</v>
      </c>
      <c r="O15" s="34">
        <v>0</v>
      </c>
      <c r="P15" s="501">
        <v>0.5161</v>
      </c>
      <c r="Q15" s="501">
        <v>1</v>
      </c>
      <c r="R15" s="501">
        <v>1.5161</v>
      </c>
      <c r="S15" s="501">
        <v>1.5161</v>
      </c>
      <c r="T15" s="501">
        <v>1.5161</v>
      </c>
      <c r="U15" s="501">
        <v>1.5161</v>
      </c>
      <c r="V15" s="501">
        <v>1.5161</v>
      </c>
      <c r="W15" s="501">
        <v>1.5161</v>
      </c>
      <c r="X15" s="501">
        <v>1.5161</v>
      </c>
      <c r="Y15" s="501">
        <v>1.5161</v>
      </c>
      <c r="Z15" s="501">
        <v>1.5161</v>
      </c>
      <c r="AA15" s="501">
        <v>1.5161</v>
      </c>
      <c r="AB15" s="32" t="s">
        <v>10</v>
      </c>
      <c r="AC15" s="90">
        <v>5</v>
      </c>
      <c r="AD15" s="87">
        <v>0</v>
      </c>
      <c r="AE15" s="88">
        <v>0</v>
      </c>
      <c r="AF15" s="88">
        <v>1</v>
      </c>
      <c r="AG15" s="88">
        <v>2</v>
      </c>
      <c r="AH15" s="88">
        <v>3</v>
      </c>
      <c r="AI15" s="88">
        <v>4</v>
      </c>
      <c r="AJ15" s="88">
        <v>5</v>
      </c>
      <c r="AK15" s="88">
        <v>6</v>
      </c>
      <c r="AL15" s="88">
        <v>7</v>
      </c>
      <c r="AM15" s="75">
        <v>8</v>
      </c>
      <c r="AN15" s="75">
        <v>8</v>
      </c>
      <c r="AO15" s="75">
        <v>8</v>
      </c>
      <c r="AP15" s="75">
        <v>8</v>
      </c>
      <c r="AQ15" s="75">
        <v>8</v>
      </c>
      <c r="AR15" s="75">
        <v>8</v>
      </c>
      <c r="AS15" s="75">
        <v>8</v>
      </c>
      <c r="AT15" s="75">
        <v>8</v>
      </c>
      <c r="AU15" s="75">
        <v>8</v>
      </c>
      <c r="AV15" s="75">
        <v>8</v>
      </c>
      <c r="AW15" s="76">
        <v>8</v>
      </c>
      <c r="AX15" s="26"/>
      <c r="AY15" s="26"/>
      <c r="AZ15" s="26"/>
      <c r="BA15" s="26"/>
      <c r="BB15" s="26"/>
      <c r="BC15" s="26"/>
    </row>
    <row r="16" spans="1:56" ht="15.75" thickBot="1" x14ac:dyDescent="0.3">
      <c r="A16" s="51">
        <v>6</v>
      </c>
      <c r="B16" s="507">
        <v>0</v>
      </c>
      <c r="C16" s="508">
        <v>0</v>
      </c>
      <c r="D16" s="508">
        <v>0</v>
      </c>
      <c r="E16" s="508">
        <v>0</v>
      </c>
      <c r="F16" s="508">
        <v>0</v>
      </c>
      <c r="G16" s="508">
        <v>0</v>
      </c>
      <c r="H16" s="508">
        <v>0</v>
      </c>
      <c r="I16" s="508">
        <v>0</v>
      </c>
      <c r="J16" s="508">
        <v>0</v>
      </c>
      <c r="K16" s="508">
        <v>0</v>
      </c>
      <c r="L16" s="508">
        <v>0</v>
      </c>
      <c r="M16" s="508">
        <v>0</v>
      </c>
      <c r="N16" s="509">
        <v>0.5161</v>
      </c>
      <c r="O16" s="509">
        <v>1</v>
      </c>
      <c r="P16" s="509">
        <v>1.5161</v>
      </c>
      <c r="Q16" s="509">
        <v>1.5161</v>
      </c>
      <c r="R16" s="509">
        <v>1.5161</v>
      </c>
      <c r="S16" s="509">
        <v>1.5161</v>
      </c>
      <c r="T16" s="509">
        <v>1.5161</v>
      </c>
      <c r="U16" s="509">
        <v>1.5161</v>
      </c>
      <c r="V16" s="509">
        <v>1.5161</v>
      </c>
      <c r="W16" s="509">
        <v>1.5161</v>
      </c>
      <c r="X16" s="509">
        <v>1.5161</v>
      </c>
      <c r="Y16" s="509">
        <v>1.5161</v>
      </c>
      <c r="Z16" s="509">
        <v>1.5161</v>
      </c>
      <c r="AA16" s="509">
        <v>1.5161</v>
      </c>
      <c r="AB16" s="32" t="s">
        <v>11</v>
      </c>
      <c r="AC16" s="94">
        <v>6</v>
      </c>
      <c r="AD16" s="95">
        <v>0</v>
      </c>
      <c r="AE16" s="96">
        <v>0</v>
      </c>
      <c r="AF16" s="96">
        <v>1</v>
      </c>
      <c r="AG16" s="96">
        <v>2</v>
      </c>
      <c r="AH16" s="96">
        <v>3</v>
      </c>
      <c r="AI16" s="96">
        <v>4</v>
      </c>
      <c r="AJ16" s="96">
        <v>5</v>
      </c>
      <c r="AK16" s="96">
        <v>6</v>
      </c>
      <c r="AL16" s="79">
        <v>7</v>
      </c>
      <c r="AM16" s="79">
        <v>7</v>
      </c>
      <c r="AN16" s="79">
        <v>7</v>
      </c>
      <c r="AO16" s="79">
        <v>7</v>
      </c>
      <c r="AP16" s="79">
        <v>7</v>
      </c>
      <c r="AQ16" s="79">
        <v>7</v>
      </c>
      <c r="AR16" s="79">
        <v>7</v>
      </c>
      <c r="AS16" s="79">
        <v>7</v>
      </c>
      <c r="AT16" s="79">
        <v>7</v>
      </c>
      <c r="AU16" s="79">
        <v>7</v>
      </c>
      <c r="AV16" s="79">
        <v>7</v>
      </c>
      <c r="AW16" s="80">
        <v>7</v>
      </c>
      <c r="AX16" s="26"/>
      <c r="AY16" s="26"/>
      <c r="AZ16" s="26"/>
      <c r="BA16" s="26"/>
      <c r="BB16" s="26"/>
      <c r="BC16" s="26"/>
      <c r="BD16" s="26"/>
    </row>
    <row r="17" spans="1:67" x14ac:dyDescent="0.25">
      <c r="B17" s="4"/>
    </row>
    <row r="18" spans="1:67" x14ac:dyDescent="0.25">
      <c r="G18" s="6"/>
    </row>
    <row r="19" spans="1:67" x14ac:dyDescent="0.25">
      <c r="G19" s="6"/>
      <c r="AB19" s="26"/>
      <c r="AC19" s="29"/>
      <c r="AD19" s="30"/>
      <c r="AE19" s="26"/>
      <c r="AF19" s="26"/>
      <c r="AG19" s="26"/>
      <c r="AH19" s="26"/>
      <c r="AI19" s="26"/>
      <c r="AJ19" s="26"/>
      <c r="AK19" s="26"/>
      <c r="AL19" s="26"/>
      <c r="AM19" s="29"/>
      <c r="AN19" s="26"/>
      <c r="AO19" s="26"/>
      <c r="AP19" s="26"/>
      <c r="AQ19" s="26"/>
      <c r="AR19" s="26"/>
      <c r="AS19" s="26"/>
      <c r="AT19" s="26"/>
      <c r="AU19" s="26"/>
      <c r="AV19" s="26"/>
      <c r="AW19" s="26"/>
      <c r="AX19" s="26"/>
      <c r="AY19" s="26"/>
      <c r="AZ19" s="26"/>
      <c r="BA19" s="30"/>
      <c r="BB19" s="26"/>
      <c r="BC19" s="26"/>
      <c r="BD19" s="26"/>
      <c r="BE19" s="26"/>
      <c r="BF19" s="26"/>
      <c r="BG19" s="26"/>
      <c r="BH19" s="26"/>
      <c r="BI19" s="26"/>
      <c r="BJ19" s="27"/>
      <c r="BK19" s="27"/>
      <c r="BL19" s="27"/>
      <c r="BM19" s="27"/>
      <c r="BN19" s="27"/>
      <c r="BO19" s="27"/>
    </row>
    <row r="20" spans="1:67" ht="15.75" thickBot="1" x14ac:dyDescent="0.3">
      <c r="A20" s="2"/>
      <c r="G20" s="6"/>
      <c r="AB20" s="26"/>
      <c r="AC20" s="26"/>
      <c r="AD20" s="30"/>
      <c r="AE20" s="30"/>
      <c r="AF20" s="30"/>
      <c r="AG20" s="30"/>
      <c r="AH20" s="26"/>
      <c r="AI20" s="26"/>
      <c r="AJ20" s="26"/>
      <c r="AK20" s="26"/>
      <c r="AL20" s="26"/>
      <c r="AM20" s="26"/>
      <c r="AN20" s="26"/>
      <c r="AO20" s="26"/>
      <c r="AP20" s="26"/>
      <c r="AQ20" s="26"/>
      <c r="AR20" s="26"/>
      <c r="AS20" s="26"/>
      <c r="AT20" s="26"/>
      <c r="AU20" s="26"/>
      <c r="AV20" s="26"/>
      <c r="AW20" s="26"/>
      <c r="AX20" s="26"/>
      <c r="AY20" s="30"/>
      <c r="AZ20" s="26"/>
      <c r="BA20" s="30"/>
      <c r="BB20" s="26"/>
      <c r="BC20" s="26"/>
    </row>
    <row r="21" spans="1:67" ht="21" customHeight="1" x14ac:dyDescent="0.25">
      <c r="A21" s="111" t="s">
        <v>76</v>
      </c>
      <c r="B21" s="42"/>
      <c r="E21" s="1278" t="s">
        <v>557</v>
      </c>
      <c r="F21" s="1279"/>
      <c r="G21" s="1280"/>
      <c r="J21" s="2"/>
      <c r="K21" s="113" t="s">
        <v>28</v>
      </c>
      <c r="L21" s="59"/>
      <c r="M21" s="1281" t="s">
        <v>88</v>
      </c>
      <c r="Q21" s="1283" t="s">
        <v>116</v>
      </c>
      <c r="R21" s="1284"/>
      <c r="V21" s="163" t="s">
        <v>119</v>
      </c>
      <c r="W21" s="164"/>
      <c r="X21" s="165"/>
      <c r="AA21" s="520" t="s">
        <v>133</v>
      </c>
      <c r="AB21" s="521"/>
      <c r="AC21" s="522"/>
      <c r="AF21" s="241" t="s">
        <v>160</v>
      </c>
      <c r="AG21" s="242"/>
      <c r="AH21" s="243"/>
      <c r="AI21" s="22"/>
      <c r="AJ21" s="21"/>
      <c r="AK21" s="248" t="s">
        <v>193</v>
      </c>
      <c r="AL21" s="249"/>
      <c r="AM21" s="250"/>
      <c r="AN21" s="26"/>
      <c r="AO21" s="26"/>
      <c r="AP21" s="26" t="s">
        <v>252</v>
      </c>
      <c r="AQ21" s="26"/>
      <c r="AR21" s="26"/>
      <c r="AS21" s="26"/>
      <c r="AT21" s="26"/>
      <c r="AU21" s="26"/>
      <c r="AV21" s="26"/>
      <c r="AW21" s="26"/>
      <c r="AX21" s="26"/>
      <c r="AY21" s="26"/>
      <c r="AZ21" s="26"/>
      <c r="BA21" s="26"/>
      <c r="BB21" s="26"/>
      <c r="BC21" s="26"/>
    </row>
    <row r="22" spans="1:67" ht="15.75" x14ac:dyDescent="0.25">
      <c r="A22" s="43" t="s">
        <v>6</v>
      </c>
      <c r="B22" s="44">
        <v>1</v>
      </c>
      <c r="E22" s="510" t="s">
        <v>73</v>
      </c>
      <c r="F22" s="511" t="s">
        <v>115</v>
      </c>
      <c r="G22" s="512" t="s">
        <v>74</v>
      </c>
      <c r="K22" s="60" t="s">
        <v>40</v>
      </c>
      <c r="L22" s="61" t="s">
        <v>29</v>
      </c>
      <c r="M22" s="1282"/>
      <c r="Q22" s="69" t="s">
        <v>40</v>
      </c>
      <c r="R22" s="70"/>
      <c r="V22" s="170" t="s">
        <v>173</v>
      </c>
      <c r="W22" s="166">
        <v>0</v>
      </c>
      <c r="X22" s="167"/>
      <c r="AA22" s="523" t="s">
        <v>131</v>
      </c>
      <c r="AB22" s="524">
        <v>0</v>
      </c>
      <c r="AC22" s="525">
        <v>0</v>
      </c>
      <c r="AF22" s="244" t="s">
        <v>173</v>
      </c>
      <c r="AG22" s="156">
        <v>0</v>
      </c>
      <c r="AH22" s="245">
        <v>0</v>
      </c>
      <c r="AI22" s="22"/>
      <c r="AJ22" s="21"/>
      <c r="AK22" s="251" t="s">
        <v>194</v>
      </c>
      <c r="AL22" s="252">
        <v>1</v>
      </c>
      <c r="AM22" s="253">
        <v>0</v>
      </c>
      <c r="AN22" s="26"/>
      <c r="AO22" s="26"/>
      <c r="AP22" s="26" t="s">
        <v>256</v>
      </c>
      <c r="AQ22" s="26"/>
      <c r="AR22" s="26"/>
      <c r="AS22" s="26"/>
      <c r="AT22" s="26"/>
      <c r="AU22" s="26"/>
      <c r="AV22" s="26"/>
      <c r="AW22" s="26"/>
      <c r="AX22" s="26"/>
      <c r="AY22" s="26"/>
      <c r="AZ22" s="26"/>
      <c r="BA22" s="26"/>
      <c r="BB22" s="30"/>
      <c r="BC22" s="26"/>
    </row>
    <row r="23" spans="1:67" ht="15.75" x14ac:dyDescent="0.25">
      <c r="A23" s="43" t="s">
        <v>7</v>
      </c>
      <c r="B23" s="44">
        <v>2</v>
      </c>
      <c r="E23" s="513" t="s">
        <v>0</v>
      </c>
      <c r="F23" s="514">
        <v>6</v>
      </c>
      <c r="G23" s="515">
        <v>4.5160999999999998</v>
      </c>
      <c r="K23" s="53" t="s">
        <v>0</v>
      </c>
      <c r="L23" s="519">
        <v>4.4839000000000002</v>
      </c>
      <c r="M23" s="55">
        <v>4.5</v>
      </c>
      <c r="Q23" s="71" t="s">
        <v>0</v>
      </c>
      <c r="R23" s="72">
        <v>6</v>
      </c>
      <c r="V23" s="171" t="s">
        <v>120</v>
      </c>
      <c r="W23" s="166">
        <v>1</v>
      </c>
      <c r="X23" s="167"/>
      <c r="AA23" s="526"/>
      <c r="AB23" s="524">
        <v>0.4839</v>
      </c>
      <c r="AC23" s="525">
        <v>11</v>
      </c>
      <c r="AF23" s="317" t="s">
        <v>569</v>
      </c>
      <c r="AG23" s="156">
        <v>65</v>
      </c>
      <c r="AH23" s="245">
        <v>3</v>
      </c>
      <c r="AI23" s="22"/>
      <c r="AJ23" s="22"/>
      <c r="AK23" s="251" t="s">
        <v>192</v>
      </c>
      <c r="AL23" s="252">
        <v>0</v>
      </c>
      <c r="AM23" s="253">
        <v>1</v>
      </c>
      <c r="AN23" s="26"/>
      <c r="AO23" s="26"/>
      <c r="AP23" s="26" t="s">
        <v>266</v>
      </c>
      <c r="AQ23" s="26"/>
      <c r="AR23" s="26"/>
      <c r="AS23" s="26"/>
      <c r="AT23" s="26"/>
      <c r="AU23" s="26"/>
      <c r="AV23" s="26"/>
      <c r="AW23" s="26"/>
      <c r="AX23" s="26"/>
      <c r="AY23" s="26"/>
      <c r="AZ23" s="26"/>
      <c r="BA23" s="26"/>
      <c r="BB23" s="30"/>
      <c r="BC23" s="26"/>
    </row>
    <row r="24" spans="1:67" ht="15.75" x14ac:dyDescent="0.25">
      <c r="A24" s="43" t="s">
        <v>8</v>
      </c>
      <c r="B24" s="44">
        <v>3</v>
      </c>
      <c r="E24" s="513" t="s">
        <v>1</v>
      </c>
      <c r="F24" s="514">
        <v>7</v>
      </c>
      <c r="G24" s="515">
        <v>5.5160999999999998</v>
      </c>
      <c r="K24" s="53" t="s">
        <v>1</v>
      </c>
      <c r="L24" s="519">
        <v>3.4839000000000002</v>
      </c>
      <c r="M24" s="55">
        <v>3.5</v>
      </c>
      <c r="Q24" s="71" t="s">
        <v>1</v>
      </c>
      <c r="R24" s="72">
        <v>7</v>
      </c>
      <c r="V24" s="170" t="s">
        <v>121</v>
      </c>
      <c r="W24" s="166">
        <v>5</v>
      </c>
      <c r="X24" s="167"/>
      <c r="AA24" s="526"/>
      <c r="AB24" s="524">
        <v>0.5161</v>
      </c>
      <c r="AC24" s="525">
        <v>11</v>
      </c>
      <c r="AF24" s="318" t="s">
        <v>570</v>
      </c>
      <c r="AG24" s="246">
        <v>65</v>
      </c>
      <c r="AH24" s="247">
        <v>3</v>
      </c>
      <c r="AI24" s="26"/>
      <c r="AJ24" s="26"/>
      <c r="AK24" s="251">
        <v>0</v>
      </c>
      <c r="AL24" s="252">
        <v>0</v>
      </c>
      <c r="AM24" s="253">
        <v>0</v>
      </c>
      <c r="AN24" s="26"/>
      <c r="AO24" s="26"/>
      <c r="AP24" s="327" t="s">
        <v>270</v>
      </c>
      <c r="AQ24" s="26"/>
      <c r="AR24" s="26"/>
      <c r="AS24" s="26"/>
      <c r="AT24" s="26"/>
      <c r="AU24" s="26"/>
      <c r="AV24" s="26"/>
      <c r="AW24" s="26"/>
      <c r="AX24" s="26"/>
      <c r="AY24" s="26"/>
      <c r="AZ24" s="26"/>
      <c r="BA24" s="26"/>
      <c r="BB24" s="26"/>
      <c r="BC24" s="26"/>
    </row>
    <row r="25" spans="1:67" ht="15.75" x14ac:dyDescent="0.25">
      <c r="A25" s="43" t="s">
        <v>9</v>
      </c>
      <c r="B25" s="44">
        <v>4</v>
      </c>
      <c r="E25" s="513" t="s">
        <v>2</v>
      </c>
      <c r="F25" s="514">
        <v>8</v>
      </c>
      <c r="G25" s="515">
        <v>6.5160999999999998</v>
      </c>
      <c r="K25" s="53" t="s">
        <v>2</v>
      </c>
      <c r="L25" s="519">
        <v>2.4839000000000002</v>
      </c>
      <c r="M25" s="55">
        <v>2.5</v>
      </c>
      <c r="Q25" s="71" t="s">
        <v>2</v>
      </c>
      <c r="R25" s="72">
        <v>8</v>
      </c>
      <c r="V25" s="170" t="s">
        <v>146</v>
      </c>
      <c r="W25" s="166">
        <v>5.75</v>
      </c>
      <c r="X25" s="167"/>
      <c r="AA25" s="526"/>
      <c r="AB25" s="524">
        <v>1</v>
      </c>
      <c r="AC25" s="525">
        <v>22</v>
      </c>
      <c r="AF25" s="241" t="s">
        <v>249</v>
      </c>
      <c r="AG25" s="242"/>
      <c r="AH25" s="243"/>
      <c r="AI25" s="26"/>
      <c r="AJ25" s="26"/>
      <c r="AK25" s="251"/>
      <c r="AL25" s="252"/>
      <c r="AM25" s="253"/>
      <c r="AN25" s="26"/>
      <c r="AO25" s="26"/>
      <c r="AP25" s="327" t="s">
        <v>274</v>
      </c>
      <c r="AQ25" s="26"/>
      <c r="AR25" s="26"/>
      <c r="AS25" s="26"/>
      <c r="AT25" s="26"/>
      <c r="AU25" s="26"/>
      <c r="AV25" s="26"/>
      <c r="AW25" s="26"/>
      <c r="AX25" s="26"/>
      <c r="AY25" s="26"/>
      <c r="AZ25" s="26"/>
      <c r="BA25" s="26"/>
      <c r="BB25" s="26"/>
      <c r="BC25" s="26"/>
    </row>
    <row r="26" spans="1:67" ht="15.75" x14ac:dyDescent="0.25">
      <c r="A26" s="43" t="s">
        <v>10</v>
      </c>
      <c r="B26" s="44">
        <v>5</v>
      </c>
      <c r="E26" s="513" t="s">
        <v>3</v>
      </c>
      <c r="F26" s="514">
        <v>9</v>
      </c>
      <c r="G26" s="515">
        <v>7.5160999999999998</v>
      </c>
      <c r="K26" s="53" t="s">
        <v>3</v>
      </c>
      <c r="L26" s="519">
        <v>1.4839</v>
      </c>
      <c r="M26" s="55">
        <v>1.5</v>
      </c>
      <c r="Q26" s="71" t="s">
        <v>3</v>
      </c>
      <c r="R26" s="72">
        <v>9</v>
      </c>
      <c r="V26" s="170" t="s">
        <v>122</v>
      </c>
      <c r="W26" s="166">
        <v>10</v>
      </c>
      <c r="X26" s="167"/>
      <c r="AA26" s="526"/>
      <c r="AB26" s="524">
        <v>1.4839</v>
      </c>
      <c r="AC26" s="525">
        <v>32</v>
      </c>
      <c r="AF26" s="244" t="s">
        <v>173</v>
      </c>
      <c r="AG26" s="156">
        <v>0</v>
      </c>
      <c r="AH26" s="245"/>
      <c r="AI26" s="26"/>
      <c r="AJ26" s="26"/>
      <c r="AK26" s="254"/>
      <c r="AL26" s="255"/>
      <c r="AM26" s="256"/>
      <c r="AN26" s="26"/>
      <c r="AO26" s="26"/>
      <c r="AP26" s="327" t="s">
        <v>284</v>
      </c>
      <c r="AQ26" s="26"/>
      <c r="AR26" s="26"/>
      <c r="AS26" s="26"/>
      <c r="AT26" s="26"/>
      <c r="AU26" s="26"/>
      <c r="AV26" s="26"/>
      <c r="AW26" s="26"/>
      <c r="AX26" s="26"/>
      <c r="AY26" s="26"/>
      <c r="AZ26" s="26"/>
      <c r="BA26" s="26"/>
      <c r="BB26" s="26"/>
      <c r="BC26" s="26"/>
    </row>
    <row r="27" spans="1:67" ht="15.75" x14ac:dyDescent="0.25">
      <c r="A27" s="43" t="s">
        <v>11</v>
      </c>
      <c r="B27" s="44">
        <v>6</v>
      </c>
      <c r="E27" s="513" t="s">
        <v>4</v>
      </c>
      <c r="F27" s="514">
        <v>10</v>
      </c>
      <c r="G27" s="515">
        <v>8.5160999999999998</v>
      </c>
      <c r="K27" s="53" t="s">
        <v>4</v>
      </c>
      <c r="L27" s="519">
        <v>0.4839</v>
      </c>
      <c r="M27" s="55">
        <v>0.5</v>
      </c>
      <c r="Q27" s="71" t="s">
        <v>4</v>
      </c>
      <c r="R27" s="72">
        <v>10</v>
      </c>
      <c r="V27" s="170" t="s">
        <v>147</v>
      </c>
      <c r="W27" s="166">
        <v>11.5</v>
      </c>
      <c r="X27" s="167"/>
      <c r="AA27" s="526"/>
      <c r="AB27" s="524">
        <v>1.5161</v>
      </c>
      <c r="AC27" s="525">
        <v>32</v>
      </c>
      <c r="AF27" s="317" t="s">
        <v>569</v>
      </c>
      <c r="AG27" s="320">
        <v>0.25</v>
      </c>
      <c r="AH27" s="245"/>
      <c r="AI27" s="26"/>
      <c r="AJ27" s="26"/>
      <c r="AK27" s="381" t="s">
        <v>428</v>
      </c>
      <c r="AL27" s="382"/>
      <c r="AM27" s="382"/>
      <c r="AN27" s="381"/>
      <c r="AO27" s="381"/>
      <c r="AP27" s="327" t="s">
        <v>303</v>
      </c>
      <c r="AQ27" s="26"/>
      <c r="AR27" s="26"/>
      <c r="AS27" s="26"/>
      <c r="AT27" s="26"/>
      <c r="AU27" s="26"/>
      <c r="AV27" s="26"/>
      <c r="AW27" s="26"/>
      <c r="AX27" s="26"/>
      <c r="AY27" s="26"/>
      <c r="AZ27" s="26"/>
      <c r="BA27" s="26"/>
      <c r="BB27" s="26"/>
      <c r="BC27" s="26"/>
    </row>
    <row r="28" spans="1:67" ht="15.75" x14ac:dyDescent="0.25">
      <c r="A28" s="43" t="s">
        <v>0</v>
      </c>
      <c r="B28" s="44">
        <v>7</v>
      </c>
      <c r="E28" s="513" t="s">
        <v>5</v>
      </c>
      <c r="F28" s="514">
        <v>11</v>
      </c>
      <c r="G28" s="515">
        <v>9</v>
      </c>
      <c r="K28" s="53" t="s">
        <v>5</v>
      </c>
      <c r="L28" s="54">
        <v>0</v>
      </c>
      <c r="M28" s="55">
        <v>0</v>
      </c>
      <c r="Q28" s="71" t="s">
        <v>5</v>
      </c>
      <c r="R28" s="72">
        <v>11</v>
      </c>
      <c r="V28" s="170" t="s">
        <v>118</v>
      </c>
      <c r="W28" s="166">
        <v>15</v>
      </c>
      <c r="X28" s="167"/>
      <c r="AA28" s="526"/>
      <c r="AB28" s="524">
        <v>2</v>
      </c>
      <c r="AC28" s="525">
        <v>42</v>
      </c>
      <c r="AF28" s="318" t="s">
        <v>570</v>
      </c>
      <c r="AG28" s="321">
        <v>0.5</v>
      </c>
      <c r="AH28" s="247"/>
      <c r="AI28" s="26"/>
      <c r="AJ28" s="26"/>
      <c r="AK28" s="381" t="s">
        <v>429</v>
      </c>
      <c r="AL28" s="382"/>
      <c r="AM28" s="382"/>
      <c r="AN28" s="381"/>
      <c r="AO28" s="381"/>
      <c r="AP28" s="327" t="s">
        <v>306</v>
      </c>
      <c r="AQ28" s="26"/>
      <c r="AR28" s="26"/>
      <c r="AS28" s="26"/>
      <c r="AT28" s="26"/>
      <c r="AU28" s="26"/>
      <c r="AV28" s="26"/>
      <c r="AW28" s="26"/>
      <c r="AX28" s="26"/>
      <c r="AY28" s="26"/>
      <c r="AZ28" s="26"/>
      <c r="BA28" s="26"/>
      <c r="BB28" s="30"/>
      <c r="BC28" s="26"/>
    </row>
    <row r="29" spans="1:67" ht="15.75" x14ac:dyDescent="0.25">
      <c r="A29" s="43" t="s">
        <v>1</v>
      </c>
      <c r="B29" s="44">
        <v>8</v>
      </c>
      <c r="E29" s="513" t="s">
        <v>6</v>
      </c>
      <c r="F29" s="514">
        <v>12</v>
      </c>
      <c r="G29" s="515">
        <v>0</v>
      </c>
      <c r="K29" s="53" t="s">
        <v>6</v>
      </c>
      <c r="L29" s="54">
        <v>0</v>
      </c>
      <c r="M29" s="55">
        <v>9</v>
      </c>
      <c r="Q29" s="71" t="s">
        <v>6</v>
      </c>
      <c r="R29" s="72">
        <v>12</v>
      </c>
      <c r="V29" s="170" t="s">
        <v>123</v>
      </c>
      <c r="W29" s="166">
        <v>20</v>
      </c>
      <c r="X29" s="167"/>
      <c r="AA29" s="526"/>
      <c r="AB29" s="524">
        <v>2.4839000000000002</v>
      </c>
      <c r="AC29" s="527">
        <v>53.5</v>
      </c>
      <c r="AI29" s="26"/>
      <c r="AJ29" s="26"/>
      <c r="AK29" s="381" t="s">
        <v>444</v>
      </c>
      <c r="AL29" s="382"/>
      <c r="AM29" s="382"/>
      <c r="AN29" s="381"/>
      <c r="AO29" s="381"/>
      <c r="AP29" s="327" t="s">
        <v>313</v>
      </c>
      <c r="AQ29" s="26"/>
      <c r="AR29" s="26"/>
      <c r="AS29" s="26"/>
      <c r="AT29" s="26"/>
      <c r="AU29" s="26"/>
      <c r="AV29" s="26"/>
      <c r="AW29" s="26"/>
      <c r="AX29" s="26"/>
      <c r="AY29" s="26"/>
      <c r="AZ29" s="26"/>
      <c r="BA29" s="26"/>
      <c r="BB29" s="30"/>
      <c r="BC29" s="26"/>
    </row>
    <row r="30" spans="1:67" ht="15.75" x14ac:dyDescent="0.25">
      <c r="A30" s="43" t="s">
        <v>2</v>
      </c>
      <c r="B30" s="44">
        <v>9</v>
      </c>
      <c r="E30" s="513" t="s">
        <v>7</v>
      </c>
      <c r="F30" s="514">
        <v>12</v>
      </c>
      <c r="G30" s="515">
        <v>0</v>
      </c>
      <c r="K30" s="53" t="s">
        <v>7</v>
      </c>
      <c r="L30" s="54">
        <v>0</v>
      </c>
      <c r="M30" s="55">
        <v>9</v>
      </c>
      <c r="Q30" s="71" t="s">
        <v>7</v>
      </c>
      <c r="R30" s="72">
        <v>12</v>
      </c>
      <c r="V30" s="170" t="s">
        <v>124</v>
      </c>
      <c r="W30" s="166">
        <v>23</v>
      </c>
      <c r="X30" s="167"/>
      <c r="AA30" s="526"/>
      <c r="AB30" s="524">
        <v>2.5160999999999998</v>
      </c>
      <c r="AC30" s="525">
        <v>53.5</v>
      </c>
      <c r="AF30" s="611" t="s">
        <v>575</v>
      </c>
      <c r="AG30" s="612"/>
      <c r="AH30" s="613"/>
      <c r="AI30" s="26"/>
      <c r="AJ30" s="26"/>
      <c r="AK30" s="30"/>
      <c r="AN30" s="26"/>
      <c r="AO30" s="26"/>
      <c r="AP30" s="327" t="s">
        <v>321</v>
      </c>
      <c r="AQ30" s="26"/>
      <c r="AR30" s="26"/>
      <c r="AS30" s="26"/>
      <c r="AT30" s="26"/>
      <c r="AU30" s="26"/>
      <c r="AV30" s="26"/>
      <c r="AW30" s="26"/>
      <c r="AX30" s="26"/>
      <c r="AY30" s="26"/>
      <c r="AZ30" s="26"/>
      <c r="BA30" s="26"/>
      <c r="BB30" s="30"/>
      <c r="BC30" s="26"/>
    </row>
    <row r="31" spans="1:67" ht="15.75" x14ac:dyDescent="0.25">
      <c r="A31" s="43" t="s">
        <v>3</v>
      </c>
      <c r="B31" s="44">
        <v>10</v>
      </c>
      <c r="E31" s="513" t="s">
        <v>8</v>
      </c>
      <c r="F31" s="514">
        <v>12</v>
      </c>
      <c r="G31" s="515">
        <v>0.5161</v>
      </c>
      <c r="K31" s="53" t="s">
        <v>8</v>
      </c>
      <c r="L31" s="54">
        <v>0</v>
      </c>
      <c r="M31" s="55">
        <v>8.5</v>
      </c>
      <c r="Q31" s="71" t="s">
        <v>8</v>
      </c>
      <c r="R31" s="72">
        <v>12</v>
      </c>
      <c r="V31" s="170" t="s">
        <v>137</v>
      </c>
      <c r="W31" s="166">
        <v>25</v>
      </c>
      <c r="X31" s="167"/>
      <c r="AA31" s="526"/>
      <c r="AB31" s="524">
        <v>3</v>
      </c>
      <c r="AC31" s="525">
        <v>65</v>
      </c>
      <c r="AF31" s="495">
        <v>0</v>
      </c>
      <c r="AG31" s="22">
        <v>0</v>
      </c>
      <c r="AH31" s="603"/>
      <c r="AI31" s="26"/>
      <c r="AJ31" s="26"/>
      <c r="AK31" s="814" t="s">
        <v>659</v>
      </c>
      <c r="AL31" s="815"/>
      <c r="AN31" s="26"/>
      <c r="AO31" s="26"/>
      <c r="AP31" s="26"/>
      <c r="AQ31" s="26"/>
      <c r="AR31" s="26"/>
      <c r="AS31" s="26"/>
      <c r="AT31" s="26"/>
      <c r="AU31" s="26"/>
      <c r="AV31" s="26"/>
      <c r="AW31" s="26"/>
      <c r="AX31" s="26"/>
      <c r="AY31" s="26"/>
      <c r="AZ31" s="26"/>
      <c r="BA31" s="26"/>
      <c r="BB31" s="26"/>
      <c r="BC31" s="26"/>
    </row>
    <row r="32" spans="1:67" ht="15.75" x14ac:dyDescent="0.25">
      <c r="A32" s="43" t="s">
        <v>4</v>
      </c>
      <c r="B32" s="44">
        <v>11</v>
      </c>
      <c r="E32" s="513" t="s">
        <v>9</v>
      </c>
      <c r="F32" s="514">
        <v>12</v>
      </c>
      <c r="G32" s="515">
        <v>1.5161</v>
      </c>
      <c r="K32" s="53" t="s">
        <v>9</v>
      </c>
      <c r="L32" s="54">
        <v>0</v>
      </c>
      <c r="M32" s="55">
        <v>7.5</v>
      </c>
      <c r="Q32" s="71" t="s">
        <v>9</v>
      </c>
      <c r="R32" s="72">
        <v>12</v>
      </c>
      <c r="V32" s="170" t="s">
        <v>138</v>
      </c>
      <c r="W32" s="166">
        <v>30</v>
      </c>
      <c r="X32" s="167"/>
      <c r="AA32" s="528" t="s">
        <v>132</v>
      </c>
      <c r="AB32" s="529">
        <v>0</v>
      </c>
      <c r="AC32" s="530">
        <v>0</v>
      </c>
      <c r="AF32" s="495">
        <v>10</v>
      </c>
      <c r="AG32" s="22">
        <v>1</v>
      </c>
      <c r="AH32" s="603"/>
      <c r="AI32" s="26"/>
      <c r="AJ32" s="26"/>
      <c r="AK32" s="814" t="s">
        <v>0</v>
      </c>
      <c r="AL32" s="815">
        <v>31</v>
      </c>
      <c r="AN32" s="26"/>
      <c r="AO32" s="26"/>
      <c r="AP32" s="26"/>
      <c r="AQ32" s="26"/>
      <c r="AR32" s="26"/>
      <c r="AS32" s="26"/>
      <c r="AT32" s="26"/>
      <c r="AU32" s="26"/>
      <c r="AV32" s="26"/>
      <c r="AW32" s="26"/>
      <c r="AX32" s="26"/>
      <c r="AY32" s="26"/>
      <c r="AZ32" s="26"/>
      <c r="BA32" s="26"/>
      <c r="BB32" s="26"/>
      <c r="BC32" s="26"/>
    </row>
    <row r="33" spans="1:55" ht="15.75" x14ac:dyDescent="0.25">
      <c r="A33" s="45" t="s">
        <v>5</v>
      </c>
      <c r="B33" s="46">
        <v>12</v>
      </c>
      <c r="E33" s="513" t="s">
        <v>10</v>
      </c>
      <c r="F33" s="514">
        <v>12</v>
      </c>
      <c r="G33" s="515">
        <v>2.5160999999999998</v>
      </c>
      <c r="K33" s="53" t="s">
        <v>10</v>
      </c>
      <c r="L33" s="54">
        <v>0</v>
      </c>
      <c r="M33" s="55">
        <v>6.5</v>
      </c>
      <c r="Q33" s="71" t="s">
        <v>10</v>
      </c>
      <c r="R33" s="72">
        <v>12</v>
      </c>
      <c r="V33" s="170" t="s">
        <v>148</v>
      </c>
      <c r="W33" s="166">
        <v>34.5</v>
      </c>
      <c r="X33" s="167"/>
      <c r="AA33" s="528"/>
      <c r="AB33" s="529">
        <v>0.4839</v>
      </c>
      <c r="AC33" s="530">
        <v>11.5</v>
      </c>
      <c r="AF33" s="495">
        <v>20</v>
      </c>
      <c r="AG33" s="22">
        <v>2</v>
      </c>
      <c r="AH33" s="603"/>
      <c r="AI33" s="26"/>
      <c r="AJ33" s="26"/>
      <c r="AK33" s="814" t="s">
        <v>1</v>
      </c>
      <c r="AL33" s="815">
        <v>28</v>
      </c>
      <c r="AN33" s="26"/>
      <c r="AO33" s="26"/>
      <c r="AP33" s="26"/>
      <c r="AQ33" s="26"/>
      <c r="AR33" s="26"/>
      <c r="AS33" s="26"/>
      <c r="AT33" s="26"/>
      <c r="AU33" s="26"/>
      <c r="AV33" s="26"/>
      <c r="AW33" s="26"/>
      <c r="AX33" s="26"/>
      <c r="AY33" s="26"/>
      <c r="AZ33" s="26"/>
      <c r="BA33" s="26"/>
      <c r="BB33" s="26"/>
      <c r="BC33" s="26"/>
    </row>
    <row r="34" spans="1:55" ht="16.5" thickBot="1" x14ac:dyDescent="0.3">
      <c r="A34" s="11"/>
      <c r="B34" s="11"/>
      <c r="E34" s="516" t="s">
        <v>11</v>
      </c>
      <c r="F34" s="517">
        <v>12</v>
      </c>
      <c r="G34" s="518">
        <v>3.5160999999999998</v>
      </c>
      <c r="K34" s="56" t="s">
        <v>11</v>
      </c>
      <c r="L34" s="57">
        <v>0</v>
      </c>
      <c r="M34" s="58">
        <v>5.5</v>
      </c>
      <c r="Q34" s="73" t="s">
        <v>11</v>
      </c>
      <c r="R34" s="74">
        <v>12</v>
      </c>
      <c r="V34" s="170" t="s">
        <v>139</v>
      </c>
      <c r="W34" s="166">
        <v>35</v>
      </c>
      <c r="X34" s="167"/>
      <c r="AA34" s="528"/>
      <c r="AB34" s="529">
        <v>0.5161</v>
      </c>
      <c r="AC34" s="530">
        <v>11.5</v>
      </c>
      <c r="AF34" s="495">
        <v>22</v>
      </c>
      <c r="AG34" s="22">
        <v>1</v>
      </c>
      <c r="AH34" s="603"/>
      <c r="AI34" s="26"/>
      <c r="AJ34" s="26"/>
      <c r="AK34" s="814" t="s">
        <v>2</v>
      </c>
      <c r="AL34" s="815">
        <v>31</v>
      </c>
      <c r="AN34" s="26"/>
      <c r="AO34" s="26"/>
      <c r="AP34" s="26"/>
      <c r="AQ34" s="26"/>
      <c r="AR34" s="26"/>
      <c r="AS34" s="26"/>
      <c r="AT34" s="26"/>
      <c r="AU34" s="26"/>
      <c r="AV34" s="26"/>
      <c r="AW34" s="26"/>
      <c r="AX34" s="26"/>
      <c r="AY34" s="26"/>
      <c r="AZ34" s="26"/>
      <c r="BA34" s="26"/>
      <c r="BB34" s="26"/>
      <c r="BC34" s="26"/>
    </row>
    <row r="35" spans="1:55" ht="15.75" x14ac:dyDescent="0.25">
      <c r="A35" s="11"/>
      <c r="B35" s="11"/>
      <c r="G35" s="6"/>
      <c r="V35" s="170" t="s">
        <v>140</v>
      </c>
      <c r="W35" s="166">
        <v>40</v>
      </c>
      <c r="X35" s="167"/>
      <c r="AA35" s="528"/>
      <c r="AB35" s="529">
        <v>1</v>
      </c>
      <c r="AC35" s="530">
        <v>23</v>
      </c>
      <c r="AF35" s="495">
        <v>23</v>
      </c>
      <c r="AG35" s="22">
        <v>1</v>
      </c>
      <c r="AH35" s="603"/>
      <c r="AI35" s="26"/>
      <c r="AJ35" s="26"/>
      <c r="AK35" s="814" t="s">
        <v>3</v>
      </c>
      <c r="AL35" s="815">
        <v>30</v>
      </c>
    </row>
    <row r="36" spans="1:55" ht="15.75" x14ac:dyDescent="0.25">
      <c r="A36" s="112" t="s">
        <v>114</v>
      </c>
      <c r="B36" s="38"/>
      <c r="C36" s="691"/>
      <c r="E36" s="158" t="s">
        <v>161</v>
      </c>
      <c r="F36" s="157"/>
      <c r="G36" s="159"/>
      <c r="K36" s="10"/>
      <c r="V36" s="170" t="s">
        <v>141</v>
      </c>
      <c r="W36" s="166">
        <v>45</v>
      </c>
      <c r="X36" s="167"/>
      <c r="AA36" s="528"/>
      <c r="AB36" s="529">
        <v>1.4839</v>
      </c>
      <c r="AC36" s="530">
        <v>33</v>
      </c>
      <c r="AF36" s="495">
        <v>32</v>
      </c>
      <c r="AG36" s="22">
        <v>2</v>
      </c>
      <c r="AH36" s="479"/>
      <c r="AI36" s="22"/>
      <c r="AJ36" s="22"/>
      <c r="AK36" s="814" t="s">
        <v>4</v>
      </c>
      <c r="AL36" s="815">
        <v>31</v>
      </c>
    </row>
    <row r="37" spans="1:55" ht="15.75" x14ac:dyDescent="0.25">
      <c r="A37" s="39"/>
      <c r="B37" s="66"/>
      <c r="C37" s="691"/>
      <c r="D37" s="1"/>
      <c r="E37" s="160" t="s">
        <v>162</v>
      </c>
      <c r="F37" s="160"/>
      <c r="G37" s="160"/>
      <c r="H37" s="1"/>
      <c r="I37" s="1"/>
      <c r="K37" s="10"/>
      <c r="M37" s="7"/>
      <c r="V37" s="170" t="s">
        <v>125</v>
      </c>
      <c r="W37" s="166">
        <v>46</v>
      </c>
      <c r="X37" s="167"/>
      <c r="AA37" s="528"/>
      <c r="AB37" s="529">
        <v>1.5161</v>
      </c>
      <c r="AC37" s="530">
        <v>33</v>
      </c>
      <c r="AF37" s="495">
        <v>33</v>
      </c>
      <c r="AG37" s="22">
        <v>2</v>
      </c>
      <c r="AH37" s="479"/>
      <c r="AK37" s="814" t="s">
        <v>5</v>
      </c>
      <c r="AL37" s="815">
        <v>30</v>
      </c>
    </row>
    <row r="38" spans="1:55" ht="15.75" x14ac:dyDescent="0.25">
      <c r="A38" s="67">
        <v>1</v>
      </c>
      <c r="B38" s="40" t="s">
        <v>6</v>
      </c>
      <c r="C38">
        <v>2021</v>
      </c>
      <c r="E38" s="157">
        <v>0</v>
      </c>
      <c r="F38" s="157">
        <v>0</v>
      </c>
      <c r="G38" s="157"/>
      <c r="K38" s="10"/>
      <c r="V38" s="170" t="s">
        <v>142</v>
      </c>
      <c r="W38" s="166">
        <v>50</v>
      </c>
      <c r="X38" s="167"/>
      <c r="AA38" s="528"/>
      <c r="AB38" s="529">
        <v>2</v>
      </c>
      <c r="AC38" s="530">
        <v>43</v>
      </c>
      <c r="AF38" s="495">
        <v>42</v>
      </c>
      <c r="AG38" s="22">
        <v>3</v>
      </c>
      <c r="AH38" s="479"/>
      <c r="AK38" s="814" t="s">
        <v>6</v>
      </c>
      <c r="AL38" s="815">
        <v>31</v>
      </c>
    </row>
    <row r="39" spans="1:55" ht="15.75" x14ac:dyDescent="0.25">
      <c r="A39" s="67">
        <v>2</v>
      </c>
      <c r="B39" s="40" t="s">
        <v>7</v>
      </c>
      <c r="C39">
        <v>2021</v>
      </c>
      <c r="E39" s="157">
        <v>1</v>
      </c>
      <c r="F39" s="157">
        <v>0.5</v>
      </c>
      <c r="G39" s="157"/>
      <c r="K39" s="10"/>
      <c r="V39" s="170" t="s">
        <v>143</v>
      </c>
      <c r="W39" s="166">
        <v>55</v>
      </c>
      <c r="X39" s="167"/>
      <c r="AA39" s="528"/>
      <c r="AB39" s="529">
        <v>2.4839000000000002</v>
      </c>
      <c r="AC39" s="530">
        <v>54</v>
      </c>
      <c r="AF39" s="495">
        <v>43</v>
      </c>
      <c r="AG39" s="22">
        <v>3</v>
      </c>
      <c r="AH39" s="479"/>
      <c r="AK39" s="814" t="s">
        <v>7</v>
      </c>
      <c r="AL39" s="815">
        <v>31</v>
      </c>
    </row>
    <row r="40" spans="1:55" ht="15.75" x14ac:dyDescent="0.25">
      <c r="A40" s="67">
        <v>3</v>
      </c>
      <c r="B40" s="40" t="s">
        <v>8</v>
      </c>
      <c r="C40">
        <v>2021</v>
      </c>
      <c r="E40" s="157">
        <v>2</v>
      </c>
      <c r="F40" s="157">
        <v>0.5</v>
      </c>
      <c r="G40" s="157"/>
      <c r="K40" s="10"/>
      <c r="V40" s="170" t="s">
        <v>144</v>
      </c>
      <c r="W40" s="166">
        <v>60</v>
      </c>
      <c r="X40" s="167"/>
      <c r="AA40" s="528"/>
      <c r="AB40" s="529">
        <v>2.5160999999999998</v>
      </c>
      <c r="AC40" s="530">
        <v>54</v>
      </c>
      <c r="AF40" s="495">
        <v>45</v>
      </c>
      <c r="AG40" s="22">
        <v>2</v>
      </c>
      <c r="AH40" s="479"/>
      <c r="AK40" s="814" t="s">
        <v>8</v>
      </c>
      <c r="AL40" s="815">
        <v>30</v>
      </c>
    </row>
    <row r="41" spans="1:55" ht="16.5" thickBot="1" x14ac:dyDescent="0.3">
      <c r="A41" s="67">
        <v>4</v>
      </c>
      <c r="B41" s="40" t="s">
        <v>9</v>
      </c>
      <c r="C41">
        <v>2021</v>
      </c>
      <c r="E41" s="157">
        <v>3</v>
      </c>
      <c r="F41" s="157">
        <v>0.5</v>
      </c>
      <c r="G41" s="157"/>
      <c r="K41" s="10"/>
      <c r="V41" s="172" t="s">
        <v>145</v>
      </c>
      <c r="W41" s="168">
        <v>65</v>
      </c>
      <c r="X41" s="169"/>
      <c r="AA41" s="531"/>
      <c r="AB41" s="532">
        <v>3</v>
      </c>
      <c r="AC41" s="533">
        <v>65</v>
      </c>
      <c r="AF41" s="495">
        <v>55</v>
      </c>
      <c r="AG41" s="22">
        <v>3</v>
      </c>
      <c r="AH41" s="479"/>
      <c r="AK41" s="814" t="s">
        <v>660</v>
      </c>
      <c r="AL41" s="815">
        <v>31</v>
      </c>
    </row>
    <row r="42" spans="1:55" x14ac:dyDescent="0.25">
      <c r="A42" s="67">
        <v>5</v>
      </c>
      <c r="B42" s="40" t="s">
        <v>10</v>
      </c>
      <c r="C42">
        <v>2021</v>
      </c>
      <c r="E42" s="157">
        <v>4</v>
      </c>
      <c r="F42" s="157">
        <v>0.5</v>
      </c>
      <c r="G42" s="157"/>
      <c r="AF42" s="614">
        <v>65</v>
      </c>
      <c r="AG42" s="476">
        <v>3</v>
      </c>
      <c r="AH42" s="615"/>
      <c r="AK42" s="814" t="s">
        <v>10</v>
      </c>
      <c r="AL42" s="815">
        <v>30</v>
      </c>
    </row>
    <row r="43" spans="1:55" ht="15.75" thickBot="1" x14ac:dyDescent="0.3">
      <c r="A43" s="67">
        <v>6</v>
      </c>
      <c r="B43" s="40" t="s">
        <v>11</v>
      </c>
      <c r="C43">
        <v>2021</v>
      </c>
      <c r="E43" s="157">
        <v>5</v>
      </c>
      <c r="F43" s="157">
        <v>0.5</v>
      </c>
      <c r="G43" s="157"/>
      <c r="AK43" s="814" t="s">
        <v>11</v>
      </c>
      <c r="AL43" s="815">
        <v>31</v>
      </c>
    </row>
    <row r="44" spans="1:55" x14ac:dyDescent="0.25">
      <c r="A44" s="67">
        <v>7</v>
      </c>
      <c r="B44" s="40" t="s">
        <v>0</v>
      </c>
      <c r="C44">
        <v>2021</v>
      </c>
      <c r="E44" s="157">
        <v>6</v>
      </c>
      <c r="F44" s="157">
        <v>0.5</v>
      </c>
      <c r="G44" s="157"/>
      <c r="K44" s="488" t="s">
        <v>553</v>
      </c>
      <c r="L44" s="489"/>
      <c r="M44" s="489"/>
      <c r="N44" s="489"/>
      <c r="O44" s="489"/>
      <c r="P44" s="489"/>
      <c r="Q44" s="489"/>
      <c r="R44" s="489"/>
      <c r="S44" s="489"/>
      <c r="T44" s="489"/>
      <c r="U44" s="489"/>
      <c r="V44" s="489"/>
      <c r="W44" s="489"/>
      <c r="X44" s="490"/>
      <c r="AA44" s="488" t="s">
        <v>556</v>
      </c>
      <c r="AB44" s="489"/>
      <c r="AC44" s="489"/>
      <c r="AD44" s="489"/>
      <c r="AE44" s="489"/>
      <c r="AF44" s="489"/>
      <c r="AG44" s="489"/>
      <c r="AH44" s="489"/>
      <c r="AI44" s="489"/>
      <c r="AJ44" s="489"/>
      <c r="AK44" s="489"/>
      <c r="AL44" s="489"/>
      <c r="AM44" s="489"/>
      <c r="AN44" s="490"/>
      <c r="AP44" s="488" t="s">
        <v>583</v>
      </c>
      <c r="AQ44" s="489"/>
      <c r="AR44" s="489"/>
      <c r="AS44" s="489"/>
      <c r="AT44" s="489"/>
      <c r="AU44" s="489"/>
      <c r="AV44" s="489"/>
      <c r="AW44" s="489"/>
      <c r="AX44" s="489"/>
      <c r="AY44" s="489"/>
      <c r="AZ44" s="489"/>
      <c r="BA44" s="489"/>
      <c r="BB44" s="489"/>
      <c r="BC44" s="490"/>
    </row>
    <row r="45" spans="1:55" ht="15.75" x14ac:dyDescent="0.25">
      <c r="A45" s="67">
        <v>8</v>
      </c>
      <c r="B45" s="40" t="s">
        <v>1</v>
      </c>
      <c r="C45">
        <v>2021</v>
      </c>
      <c r="E45" s="157">
        <v>7</v>
      </c>
      <c r="F45" s="157">
        <v>0.5</v>
      </c>
      <c r="G45" s="157"/>
      <c r="K45" s="487" t="s">
        <v>551</v>
      </c>
      <c r="L45" s="481"/>
      <c r="M45" s="481" t="s">
        <v>6</v>
      </c>
      <c r="N45" s="481" t="s">
        <v>7</v>
      </c>
      <c r="O45" s="481" t="s">
        <v>8</v>
      </c>
      <c r="P45" s="481" t="s">
        <v>9</v>
      </c>
      <c r="Q45" s="482" t="s">
        <v>10</v>
      </c>
      <c r="R45" s="483" t="s">
        <v>11</v>
      </c>
      <c r="S45" s="481" t="s">
        <v>0</v>
      </c>
      <c r="T45" s="481" t="s">
        <v>1</v>
      </c>
      <c r="U45" s="481" t="s">
        <v>2</v>
      </c>
      <c r="V45" s="481" t="s">
        <v>3</v>
      </c>
      <c r="W45" s="481" t="s">
        <v>4</v>
      </c>
      <c r="X45" s="483" t="s">
        <v>5</v>
      </c>
      <c r="AA45" s="487" t="s">
        <v>551</v>
      </c>
      <c r="AB45" s="481"/>
      <c r="AC45" s="481" t="s">
        <v>6</v>
      </c>
      <c r="AD45" s="481" t="s">
        <v>7</v>
      </c>
      <c r="AE45" s="481" t="s">
        <v>8</v>
      </c>
      <c r="AF45" s="481" t="s">
        <v>9</v>
      </c>
      <c r="AG45" s="482" t="s">
        <v>10</v>
      </c>
      <c r="AH45" s="481" t="s">
        <v>11</v>
      </c>
      <c r="AI45" s="481" t="s">
        <v>0</v>
      </c>
      <c r="AJ45" s="481" t="s">
        <v>1</v>
      </c>
      <c r="AK45" s="481" t="s">
        <v>2</v>
      </c>
      <c r="AL45" s="481" t="s">
        <v>3</v>
      </c>
      <c r="AM45" s="481" t="s">
        <v>4</v>
      </c>
      <c r="AN45" s="483" t="s">
        <v>5</v>
      </c>
      <c r="AP45" s="487" t="s">
        <v>551</v>
      </c>
      <c r="AQ45" s="481"/>
      <c r="AR45" s="481" t="s">
        <v>6</v>
      </c>
      <c r="AS45" s="481" t="s">
        <v>7</v>
      </c>
      <c r="AT45" s="481" t="s">
        <v>8</v>
      </c>
      <c r="AU45" s="481" t="s">
        <v>9</v>
      </c>
      <c r="AV45" s="482" t="s">
        <v>10</v>
      </c>
      <c r="AW45" s="481" t="s">
        <v>11</v>
      </c>
      <c r="AX45" s="481" t="s">
        <v>0</v>
      </c>
      <c r="AY45" s="481" t="s">
        <v>1</v>
      </c>
      <c r="AZ45" s="481" t="s">
        <v>2</v>
      </c>
      <c r="BA45" s="481" t="s">
        <v>3</v>
      </c>
      <c r="BB45" s="481" t="s">
        <v>4</v>
      </c>
      <c r="BC45" s="483" t="s">
        <v>5</v>
      </c>
    </row>
    <row r="46" spans="1:55" x14ac:dyDescent="0.25">
      <c r="A46" s="67">
        <v>9</v>
      </c>
      <c r="B46" s="40" t="s">
        <v>2</v>
      </c>
      <c r="C46">
        <v>2021</v>
      </c>
      <c r="E46" s="157">
        <v>8</v>
      </c>
      <c r="F46" s="157">
        <v>0.5</v>
      </c>
      <c r="G46" s="157"/>
      <c r="K46" s="484" t="s">
        <v>550</v>
      </c>
      <c r="L46" s="22"/>
      <c r="M46" s="476">
        <v>1</v>
      </c>
      <c r="N46" s="476">
        <v>2</v>
      </c>
      <c r="O46" s="476">
        <v>3</v>
      </c>
      <c r="P46" s="476">
        <v>4</v>
      </c>
      <c r="Q46" s="477">
        <v>5</v>
      </c>
      <c r="R46" s="478">
        <v>6</v>
      </c>
      <c r="S46" s="476">
        <v>7</v>
      </c>
      <c r="T46" s="476">
        <v>8</v>
      </c>
      <c r="U46" s="476">
        <v>9</v>
      </c>
      <c r="V46" s="476">
        <v>10</v>
      </c>
      <c r="W46" s="476">
        <v>11</v>
      </c>
      <c r="X46" s="478">
        <v>12</v>
      </c>
      <c r="AA46" s="484" t="s">
        <v>550</v>
      </c>
      <c r="AB46" s="22">
        <v>0</v>
      </c>
      <c r="AC46" s="476">
        <v>1</v>
      </c>
      <c r="AD46" s="476">
        <v>2</v>
      </c>
      <c r="AE46" s="476">
        <v>3</v>
      </c>
      <c r="AF46" s="476">
        <v>4</v>
      </c>
      <c r="AG46" s="477">
        <v>5</v>
      </c>
      <c r="AH46" s="476">
        <v>6</v>
      </c>
      <c r="AI46" s="476">
        <v>7</v>
      </c>
      <c r="AJ46" s="476">
        <v>8</v>
      </c>
      <c r="AK46" s="476">
        <v>9</v>
      </c>
      <c r="AL46" s="476">
        <v>10</v>
      </c>
      <c r="AM46" s="476">
        <v>11</v>
      </c>
      <c r="AN46" s="478">
        <v>12</v>
      </c>
      <c r="AP46" s="617" t="s">
        <v>550</v>
      </c>
      <c r="AQ46" s="664">
        <v>0</v>
      </c>
      <c r="AR46" s="665">
        <v>1</v>
      </c>
      <c r="AS46" s="665">
        <v>2</v>
      </c>
      <c r="AT46" s="665">
        <v>3</v>
      </c>
      <c r="AU46" s="665">
        <v>4</v>
      </c>
      <c r="AV46" s="665">
        <v>5</v>
      </c>
      <c r="AW46" s="665">
        <v>6</v>
      </c>
      <c r="AX46" s="665">
        <v>7</v>
      </c>
      <c r="AY46" s="665">
        <v>8</v>
      </c>
      <c r="AZ46" s="665">
        <v>9</v>
      </c>
      <c r="BA46" s="665">
        <v>10</v>
      </c>
      <c r="BB46" s="665">
        <v>11</v>
      </c>
      <c r="BC46" s="666">
        <v>12</v>
      </c>
    </row>
    <row r="47" spans="1:55" x14ac:dyDescent="0.25">
      <c r="A47" s="67">
        <v>10</v>
      </c>
      <c r="B47" s="40" t="s">
        <v>3</v>
      </c>
      <c r="C47">
        <v>2021</v>
      </c>
      <c r="E47" s="157">
        <v>9</v>
      </c>
      <c r="F47" s="157">
        <v>0.5</v>
      </c>
      <c r="G47" s="157"/>
      <c r="K47" s="485" t="s">
        <v>0</v>
      </c>
      <c r="L47" s="479">
        <v>7</v>
      </c>
      <c r="M47" s="26">
        <v>6</v>
      </c>
      <c r="N47" s="26">
        <v>5</v>
      </c>
      <c r="O47" s="26">
        <v>4</v>
      </c>
      <c r="P47" s="26">
        <v>3</v>
      </c>
      <c r="Q47" s="26">
        <v>2</v>
      </c>
      <c r="R47" s="474">
        <v>1</v>
      </c>
      <c r="S47" s="22">
        <v>12</v>
      </c>
      <c r="T47" s="22">
        <v>11</v>
      </c>
      <c r="U47" s="26">
        <v>10</v>
      </c>
      <c r="V47" s="26">
        <v>9</v>
      </c>
      <c r="W47" s="26">
        <v>8</v>
      </c>
      <c r="X47" s="494">
        <v>7</v>
      </c>
      <c r="AA47" s="485" t="s">
        <v>6</v>
      </c>
      <c r="AB47" s="479">
        <v>1</v>
      </c>
      <c r="AC47" s="26">
        <v>12</v>
      </c>
      <c r="AD47" s="26">
        <v>12</v>
      </c>
      <c r="AE47" s="26">
        <v>12</v>
      </c>
      <c r="AF47" s="26">
        <v>12</v>
      </c>
      <c r="AG47" s="26">
        <v>12</v>
      </c>
      <c r="AH47" s="26">
        <v>12</v>
      </c>
      <c r="AI47" s="26">
        <v>12</v>
      </c>
      <c r="AJ47" s="26">
        <v>12</v>
      </c>
      <c r="AK47" s="26">
        <v>12</v>
      </c>
      <c r="AL47" s="26">
        <v>12</v>
      </c>
      <c r="AM47" s="26">
        <v>12</v>
      </c>
      <c r="AN47" s="494">
        <v>12</v>
      </c>
      <c r="AO47" s="26">
        <v>21</v>
      </c>
      <c r="AP47" s="618" t="s">
        <v>6</v>
      </c>
      <c r="AQ47" s="667">
        <v>1</v>
      </c>
      <c r="AR47" s="668">
        <v>12</v>
      </c>
      <c r="AS47" s="668">
        <v>11</v>
      </c>
      <c r="AT47" s="668">
        <v>10</v>
      </c>
      <c r="AU47" s="668">
        <v>9</v>
      </c>
      <c r="AV47" s="668">
        <v>8</v>
      </c>
      <c r="AW47" s="668">
        <v>7</v>
      </c>
      <c r="AX47" s="668">
        <v>6</v>
      </c>
      <c r="AY47" s="668">
        <v>5</v>
      </c>
      <c r="AZ47" s="668">
        <v>4</v>
      </c>
      <c r="BA47" s="668">
        <v>3</v>
      </c>
      <c r="BB47" s="668">
        <v>2</v>
      </c>
      <c r="BC47" s="669">
        <v>1</v>
      </c>
    </row>
    <row r="48" spans="1:55" x14ac:dyDescent="0.25">
      <c r="A48" s="67">
        <v>11</v>
      </c>
      <c r="B48" s="40" t="s">
        <v>4</v>
      </c>
      <c r="C48">
        <v>2021</v>
      </c>
      <c r="E48" s="157">
        <v>10</v>
      </c>
      <c r="F48" s="157">
        <v>0.5</v>
      </c>
      <c r="G48" s="157"/>
      <c r="K48" s="485" t="s">
        <v>1</v>
      </c>
      <c r="L48" s="479">
        <v>8</v>
      </c>
      <c r="M48" s="26">
        <v>7</v>
      </c>
      <c r="N48" s="26">
        <v>6</v>
      </c>
      <c r="O48" s="26">
        <v>5</v>
      </c>
      <c r="P48" s="26">
        <v>4</v>
      </c>
      <c r="Q48" s="26">
        <v>3</v>
      </c>
      <c r="R48" s="474">
        <v>2</v>
      </c>
      <c r="S48" s="22">
        <v>1</v>
      </c>
      <c r="T48" s="22">
        <v>12</v>
      </c>
      <c r="U48" s="22">
        <v>11</v>
      </c>
      <c r="V48" s="26">
        <v>10</v>
      </c>
      <c r="W48" s="26">
        <v>9</v>
      </c>
      <c r="X48" s="494">
        <v>8</v>
      </c>
      <c r="AA48" s="485" t="s">
        <v>7</v>
      </c>
      <c r="AB48" s="479">
        <v>2</v>
      </c>
      <c r="AC48" s="26">
        <v>12</v>
      </c>
      <c r="AD48" s="26">
        <v>12</v>
      </c>
      <c r="AE48" s="26">
        <v>12</v>
      </c>
      <c r="AF48" s="26">
        <v>12</v>
      </c>
      <c r="AG48" s="26">
        <v>12</v>
      </c>
      <c r="AH48" s="26">
        <v>12</v>
      </c>
      <c r="AI48" s="26">
        <v>12</v>
      </c>
      <c r="AJ48" s="26">
        <v>12</v>
      </c>
      <c r="AK48" s="26">
        <v>12</v>
      </c>
      <c r="AL48" s="26">
        <v>12</v>
      </c>
      <c r="AM48" s="26">
        <v>12</v>
      </c>
      <c r="AN48" s="494">
        <v>12</v>
      </c>
      <c r="AO48" s="26">
        <v>21</v>
      </c>
      <c r="AP48" s="618" t="s">
        <v>7</v>
      </c>
      <c r="AQ48" s="667">
        <v>2</v>
      </c>
      <c r="AR48" s="670">
        <v>0</v>
      </c>
      <c r="AS48" s="668">
        <v>11</v>
      </c>
      <c r="AT48" s="668">
        <v>10</v>
      </c>
      <c r="AU48" s="668">
        <v>9</v>
      </c>
      <c r="AV48" s="668">
        <v>8</v>
      </c>
      <c r="AW48" s="668">
        <v>7</v>
      </c>
      <c r="AX48" s="668">
        <v>6</v>
      </c>
      <c r="AY48" s="668">
        <v>5</v>
      </c>
      <c r="AZ48" s="668">
        <v>4</v>
      </c>
      <c r="BA48" s="668">
        <v>3</v>
      </c>
      <c r="BB48" s="668">
        <v>2</v>
      </c>
      <c r="BC48" s="669">
        <v>1</v>
      </c>
    </row>
    <row r="49" spans="1:55" x14ac:dyDescent="0.25">
      <c r="A49" s="67">
        <v>12</v>
      </c>
      <c r="B49" s="40" t="s">
        <v>5</v>
      </c>
      <c r="C49">
        <v>2021</v>
      </c>
      <c r="E49" s="157">
        <v>11</v>
      </c>
      <c r="F49" s="157">
        <v>0.5</v>
      </c>
      <c r="G49" s="157"/>
      <c r="K49" s="485" t="s">
        <v>2</v>
      </c>
      <c r="L49" s="479">
        <v>9</v>
      </c>
      <c r="M49" s="26">
        <v>8</v>
      </c>
      <c r="N49" s="26">
        <v>7</v>
      </c>
      <c r="O49" s="26">
        <v>6</v>
      </c>
      <c r="P49" s="26">
        <v>5</v>
      </c>
      <c r="Q49" s="26">
        <v>4</v>
      </c>
      <c r="R49" s="474">
        <v>3</v>
      </c>
      <c r="S49" s="26">
        <v>2</v>
      </c>
      <c r="T49" s="26">
        <v>1</v>
      </c>
      <c r="U49" s="22">
        <v>12</v>
      </c>
      <c r="V49" s="26">
        <v>11</v>
      </c>
      <c r="W49" s="26">
        <v>10</v>
      </c>
      <c r="X49" s="494">
        <v>9</v>
      </c>
      <c r="AA49" s="485" t="s">
        <v>8</v>
      </c>
      <c r="AB49" s="479">
        <v>3</v>
      </c>
      <c r="AC49" s="26">
        <v>12</v>
      </c>
      <c r="AD49" s="26">
        <v>12</v>
      </c>
      <c r="AE49" s="26">
        <v>12</v>
      </c>
      <c r="AF49" s="26">
        <v>12</v>
      </c>
      <c r="AG49" s="26">
        <v>12</v>
      </c>
      <c r="AH49" s="26">
        <v>12</v>
      </c>
      <c r="AI49" s="26">
        <v>12</v>
      </c>
      <c r="AJ49" s="26">
        <v>12</v>
      </c>
      <c r="AK49" s="26">
        <v>12</v>
      </c>
      <c r="AL49" s="26">
        <v>12</v>
      </c>
      <c r="AM49" s="26">
        <v>12</v>
      </c>
      <c r="AN49" s="494">
        <v>12</v>
      </c>
      <c r="AO49" s="26">
        <v>21</v>
      </c>
      <c r="AP49" s="618" t="s">
        <v>8</v>
      </c>
      <c r="AQ49" s="667">
        <v>3</v>
      </c>
      <c r="AR49" s="670">
        <v>0</v>
      </c>
      <c r="AS49" s="668">
        <v>0</v>
      </c>
      <c r="AT49" s="668">
        <v>10</v>
      </c>
      <c r="AU49" s="668">
        <v>9</v>
      </c>
      <c r="AV49" s="668">
        <v>8</v>
      </c>
      <c r="AW49" s="668">
        <v>7</v>
      </c>
      <c r="AX49" s="668">
        <v>6</v>
      </c>
      <c r="AY49" s="668">
        <v>5</v>
      </c>
      <c r="AZ49" s="668">
        <v>4</v>
      </c>
      <c r="BA49" s="668">
        <v>3</v>
      </c>
      <c r="BB49" s="668">
        <v>2</v>
      </c>
      <c r="BC49" s="669">
        <v>1</v>
      </c>
    </row>
    <row r="50" spans="1:55" x14ac:dyDescent="0.25">
      <c r="A50" s="67">
        <v>13</v>
      </c>
      <c r="B50" s="40" t="s">
        <v>6</v>
      </c>
      <c r="C50">
        <v>2022</v>
      </c>
      <c r="E50" s="157">
        <v>12</v>
      </c>
      <c r="F50" s="157">
        <v>1</v>
      </c>
      <c r="G50" s="157"/>
      <c r="K50" s="485" t="s">
        <v>3</v>
      </c>
      <c r="L50" s="479">
        <v>10</v>
      </c>
      <c r="M50" s="26">
        <v>9</v>
      </c>
      <c r="N50" s="26">
        <v>8</v>
      </c>
      <c r="O50" s="26">
        <v>7</v>
      </c>
      <c r="P50" s="26">
        <v>6</v>
      </c>
      <c r="Q50" s="26">
        <v>5</v>
      </c>
      <c r="R50" s="474">
        <v>4</v>
      </c>
      <c r="S50" s="26">
        <v>3</v>
      </c>
      <c r="T50" s="26">
        <v>2</v>
      </c>
      <c r="U50" s="26">
        <v>1</v>
      </c>
      <c r="V50" s="22">
        <v>12</v>
      </c>
      <c r="W50" s="26">
        <v>11</v>
      </c>
      <c r="X50" s="494">
        <v>10</v>
      </c>
      <c r="AA50" s="485" t="s">
        <v>9</v>
      </c>
      <c r="AB50" s="479">
        <v>4</v>
      </c>
      <c r="AC50" s="26">
        <v>12</v>
      </c>
      <c r="AD50" s="26">
        <v>12</v>
      </c>
      <c r="AE50" s="26">
        <v>12</v>
      </c>
      <c r="AF50" s="26">
        <v>12</v>
      </c>
      <c r="AG50" s="26">
        <v>12</v>
      </c>
      <c r="AH50" s="26">
        <v>12</v>
      </c>
      <c r="AI50" s="26">
        <v>12</v>
      </c>
      <c r="AJ50" s="26">
        <v>12</v>
      </c>
      <c r="AK50" s="26">
        <v>12</v>
      </c>
      <c r="AL50" s="26">
        <v>12</v>
      </c>
      <c r="AM50" s="26">
        <v>12</v>
      </c>
      <c r="AN50" s="494">
        <v>12</v>
      </c>
      <c r="AO50" s="26">
        <v>21</v>
      </c>
      <c r="AP50" s="618" t="s">
        <v>9</v>
      </c>
      <c r="AQ50" s="667">
        <v>4</v>
      </c>
      <c r="AR50" s="670">
        <v>0</v>
      </c>
      <c r="AS50" s="668">
        <v>0</v>
      </c>
      <c r="AT50" s="668">
        <v>0</v>
      </c>
      <c r="AU50" s="668">
        <v>9</v>
      </c>
      <c r="AV50" s="668">
        <v>8</v>
      </c>
      <c r="AW50" s="668">
        <v>7</v>
      </c>
      <c r="AX50" s="668">
        <v>6</v>
      </c>
      <c r="AY50" s="668">
        <v>5</v>
      </c>
      <c r="AZ50" s="668">
        <v>4</v>
      </c>
      <c r="BA50" s="668">
        <v>3</v>
      </c>
      <c r="BB50" s="668">
        <v>2</v>
      </c>
      <c r="BC50" s="669">
        <v>1</v>
      </c>
    </row>
    <row r="51" spans="1:55" x14ac:dyDescent="0.25">
      <c r="A51" s="67">
        <v>14</v>
      </c>
      <c r="B51" s="40" t="s">
        <v>7</v>
      </c>
      <c r="C51">
        <v>2022</v>
      </c>
      <c r="E51" s="157">
        <v>13</v>
      </c>
      <c r="F51" s="157">
        <v>1</v>
      </c>
      <c r="G51" s="157"/>
      <c r="K51" s="485" t="s">
        <v>4</v>
      </c>
      <c r="L51" s="479">
        <v>11</v>
      </c>
      <c r="M51" s="26">
        <v>10</v>
      </c>
      <c r="N51" s="26">
        <v>9</v>
      </c>
      <c r="O51" s="26">
        <v>8</v>
      </c>
      <c r="P51" s="26">
        <v>7</v>
      </c>
      <c r="Q51" s="26">
        <v>6</v>
      </c>
      <c r="R51" s="474">
        <v>5</v>
      </c>
      <c r="S51" s="26">
        <v>4</v>
      </c>
      <c r="T51" s="26">
        <v>3</v>
      </c>
      <c r="U51" s="26">
        <v>2</v>
      </c>
      <c r="V51" s="26">
        <v>1</v>
      </c>
      <c r="W51" s="22">
        <v>12</v>
      </c>
      <c r="X51" s="494">
        <v>11</v>
      </c>
      <c r="AA51" s="485" t="s">
        <v>10</v>
      </c>
      <c r="AB51" s="479">
        <v>5</v>
      </c>
      <c r="AC51" s="26">
        <v>12</v>
      </c>
      <c r="AD51" s="26">
        <v>12</v>
      </c>
      <c r="AE51" s="26">
        <v>12</v>
      </c>
      <c r="AF51" s="26">
        <v>12</v>
      </c>
      <c r="AG51" s="26">
        <v>12</v>
      </c>
      <c r="AH51" s="26">
        <v>12</v>
      </c>
      <c r="AI51" s="26">
        <v>12</v>
      </c>
      <c r="AJ51" s="26">
        <v>12</v>
      </c>
      <c r="AK51" s="26">
        <v>12</v>
      </c>
      <c r="AL51" s="26">
        <v>12</v>
      </c>
      <c r="AM51" s="26">
        <v>12</v>
      </c>
      <c r="AN51" s="494">
        <v>12</v>
      </c>
      <c r="AO51" s="26">
        <v>21</v>
      </c>
      <c r="AP51" s="618" t="s">
        <v>10</v>
      </c>
      <c r="AQ51" s="667">
        <v>5</v>
      </c>
      <c r="AR51" s="670">
        <v>0</v>
      </c>
      <c r="AS51" s="668">
        <v>0</v>
      </c>
      <c r="AT51" s="668">
        <v>0</v>
      </c>
      <c r="AU51" s="668">
        <v>0</v>
      </c>
      <c r="AV51" s="668">
        <v>8</v>
      </c>
      <c r="AW51" s="668">
        <v>7</v>
      </c>
      <c r="AX51" s="668">
        <v>6</v>
      </c>
      <c r="AY51" s="668">
        <v>5</v>
      </c>
      <c r="AZ51" s="668">
        <v>4</v>
      </c>
      <c r="BA51" s="668">
        <v>3</v>
      </c>
      <c r="BB51" s="668">
        <v>2</v>
      </c>
      <c r="BC51" s="669">
        <v>1</v>
      </c>
    </row>
    <row r="52" spans="1:55" x14ac:dyDescent="0.25">
      <c r="A52" s="67">
        <v>15</v>
      </c>
      <c r="B52" s="40" t="s">
        <v>8</v>
      </c>
      <c r="C52">
        <v>2022</v>
      </c>
      <c r="E52" s="157">
        <v>14</v>
      </c>
      <c r="F52" s="157">
        <v>1</v>
      </c>
      <c r="G52" s="157"/>
      <c r="K52" s="485" t="s">
        <v>5</v>
      </c>
      <c r="L52" s="479">
        <v>12</v>
      </c>
      <c r="M52" s="26">
        <v>11</v>
      </c>
      <c r="N52" s="26">
        <v>10</v>
      </c>
      <c r="O52" s="26">
        <v>9</v>
      </c>
      <c r="P52" s="26">
        <v>8</v>
      </c>
      <c r="Q52" s="26">
        <v>7</v>
      </c>
      <c r="R52" s="474">
        <v>6</v>
      </c>
      <c r="S52" s="26">
        <v>5</v>
      </c>
      <c r="T52" s="26">
        <v>4</v>
      </c>
      <c r="U52" s="26">
        <v>3</v>
      </c>
      <c r="V52" s="26">
        <v>2</v>
      </c>
      <c r="W52" s="26">
        <v>1</v>
      </c>
      <c r="X52" s="474">
        <v>12</v>
      </c>
      <c r="AA52" s="485" t="s">
        <v>11</v>
      </c>
      <c r="AB52" s="479">
        <v>6</v>
      </c>
      <c r="AC52" s="26">
        <v>12</v>
      </c>
      <c r="AD52" s="26">
        <v>12</v>
      </c>
      <c r="AE52" s="26">
        <v>12</v>
      </c>
      <c r="AF52" s="26">
        <v>12</v>
      </c>
      <c r="AG52" s="26">
        <v>12</v>
      </c>
      <c r="AH52" s="26">
        <v>12</v>
      </c>
      <c r="AI52" s="26">
        <v>12</v>
      </c>
      <c r="AJ52" s="26">
        <v>12</v>
      </c>
      <c r="AK52" s="26">
        <v>12</v>
      </c>
      <c r="AL52" s="26">
        <v>12</v>
      </c>
      <c r="AM52" s="26">
        <v>12</v>
      </c>
      <c r="AN52" s="494">
        <v>12</v>
      </c>
      <c r="AO52" s="26">
        <v>21</v>
      </c>
      <c r="AP52" s="618" t="s">
        <v>11</v>
      </c>
      <c r="AQ52" s="675">
        <v>6</v>
      </c>
      <c r="AR52" s="676">
        <v>0</v>
      </c>
      <c r="AS52" s="677">
        <v>0</v>
      </c>
      <c r="AT52" s="677">
        <v>0</v>
      </c>
      <c r="AU52" s="677">
        <v>0</v>
      </c>
      <c r="AV52" s="677">
        <v>0</v>
      </c>
      <c r="AW52" s="677">
        <v>7</v>
      </c>
      <c r="AX52" s="677">
        <v>6</v>
      </c>
      <c r="AY52" s="677">
        <v>5</v>
      </c>
      <c r="AZ52" s="677">
        <v>4</v>
      </c>
      <c r="BA52" s="677">
        <v>3</v>
      </c>
      <c r="BB52" s="677">
        <v>2</v>
      </c>
      <c r="BC52" s="678">
        <v>1</v>
      </c>
    </row>
    <row r="53" spans="1:55" x14ac:dyDescent="0.25">
      <c r="A53" s="67">
        <v>16</v>
      </c>
      <c r="B53" s="40" t="s">
        <v>9</v>
      </c>
      <c r="C53">
        <v>2022</v>
      </c>
      <c r="E53" s="157">
        <v>15</v>
      </c>
      <c r="F53" s="157">
        <v>1</v>
      </c>
      <c r="G53" s="157"/>
      <c r="K53" s="485" t="s">
        <v>6</v>
      </c>
      <c r="L53" s="479">
        <v>1</v>
      </c>
      <c r="M53" s="22">
        <v>12</v>
      </c>
      <c r="N53" s="26">
        <v>11</v>
      </c>
      <c r="O53" s="26">
        <v>10</v>
      </c>
      <c r="P53" s="26">
        <v>9</v>
      </c>
      <c r="Q53" s="26">
        <v>8</v>
      </c>
      <c r="R53" s="474">
        <v>7</v>
      </c>
      <c r="S53" s="26">
        <v>6</v>
      </c>
      <c r="T53" s="26">
        <v>5</v>
      </c>
      <c r="U53" s="26">
        <v>4</v>
      </c>
      <c r="V53" s="26">
        <v>3</v>
      </c>
      <c r="W53" s="26">
        <v>2</v>
      </c>
      <c r="X53" s="494">
        <v>1</v>
      </c>
      <c r="AA53" s="485" t="s">
        <v>0</v>
      </c>
      <c r="AB53" s="22">
        <v>7</v>
      </c>
      <c r="AC53" s="495">
        <v>12</v>
      </c>
      <c r="AD53" s="26">
        <v>12</v>
      </c>
      <c r="AE53" s="26">
        <v>12</v>
      </c>
      <c r="AF53" s="26">
        <v>12</v>
      </c>
      <c r="AG53" s="26">
        <v>12</v>
      </c>
      <c r="AH53" s="26">
        <v>12</v>
      </c>
      <c r="AI53" s="26">
        <v>6</v>
      </c>
      <c r="AJ53" s="26">
        <v>7</v>
      </c>
      <c r="AK53" s="26">
        <v>8</v>
      </c>
      <c r="AL53" s="26">
        <v>9</v>
      </c>
      <c r="AM53" s="26">
        <v>10</v>
      </c>
      <c r="AN53" s="494">
        <v>11</v>
      </c>
      <c r="AO53" s="26">
        <v>21</v>
      </c>
      <c r="AP53" s="618" t="s">
        <v>0</v>
      </c>
      <c r="AQ53" s="667">
        <v>7</v>
      </c>
      <c r="AR53" s="670">
        <v>6</v>
      </c>
      <c r="AS53" s="668">
        <v>5</v>
      </c>
      <c r="AT53" s="668">
        <v>4</v>
      </c>
      <c r="AU53" s="668">
        <v>3</v>
      </c>
      <c r="AV53" s="668">
        <v>2</v>
      </c>
      <c r="AW53" s="668">
        <v>1</v>
      </c>
      <c r="AX53" s="668">
        <v>6</v>
      </c>
      <c r="AY53" s="668">
        <v>6</v>
      </c>
      <c r="AZ53" s="668">
        <v>6</v>
      </c>
      <c r="BA53" s="668">
        <v>6</v>
      </c>
      <c r="BB53" s="668">
        <v>6</v>
      </c>
      <c r="BC53" s="669">
        <v>6</v>
      </c>
    </row>
    <row r="54" spans="1:55" x14ac:dyDescent="0.25">
      <c r="A54" s="67">
        <v>17</v>
      </c>
      <c r="B54" s="40" t="s">
        <v>10</v>
      </c>
      <c r="C54">
        <v>2022</v>
      </c>
      <c r="E54" s="157">
        <v>16</v>
      </c>
      <c r="F54" s="157">
        <v>1</v>
      </c>
      <c r="G54" s="157"/>
      <c r="K54" s="485" t="s">
        <v>7</v>
      </c>
      <c r="L54" s="479">
        <v>2</v>
      </c>
      <c r="M54" s="26">
        <v>1</v>
      </c>
      <c r="N54" s="22">
        <v>12</v>
      </c>
      <c r="O54" s="26">
        <v>11</v>
      </c>
      <c r="P54" s="26">
        <v>10</v>
      </c>
      <c r="Q54" s="26">
        <v>9</v>
      </c>
      <c r="R54" s="474">
        <v>8</v>
      </c>
      <c r="S54" s="26">
        <v>7</v>
      </c>
      <c r="T54" s="26">
        <v>6</v>
      </c>
      <c r="U54" s="26">
        <v>5</v>
      </c>
      <c r="V54" s="26">
        <v>4</v>
      </c>
      <c r="W54" s="26">
        <v>3</v>
      </c>
      <c r="X54" s="494">
        <v>2</v>
      </c>
      <c r="AA54" s="485" t="s">
        <v>1</v>
      </c>
      <c r="AB54" s="479">
        <v>8</v>
      </c>
      <c r="AC54" s="26">
        <v>12</v>
      </c>
      <c r="AD54" s="22">
        <v>12</v>
      </c>
      <c r="AE54" s="26">
        <v>12</v>
      </c>
      <c r="AF54" s="26">
        <v>12</v>
      </c>
      <c r="AG54" s="26">
        <v>12</v>
      </c>
      <c r="AH54" s="26">
        <v>12</v>
      </c>
      <c r="AI54" s="26">
        <v>12</v>
      </c>
      <c r="AJ54" s="26">
        <v>7</v>
      </c>
      <c r="AK54" s="26">
        <v>8</v>
      </c>
      <c r="AL54" s="26">
        <v>9</v>
      </c>
      <c r="AM54" s="26">
        <v>10</v>
      </c>
      <c r="AN54" s="494">
        <v>11</v>
      </c>
      <c r="AO54" s="26">
        <v>21</v>
      </c>
      <c r="AP54" s="618" t="s">
        <v>1</v>
      </c>
      <c r="AQ54" s="667">
        <v>8</v>
      </c>
      <c r="AR54" s="670">
        <v>7</v>
      </c>
      <c r="AS54" s="668">
        <v>6</v>
      </c>
      <c r="AT54" s="668">
        <v>5</v>
      </c>
      <c r="AU54" s="668">
        <v>4</v>
      </c>
      <c r="AV54" s="668">
        <v>3</v>
      </c>
      <c r="AW54" s="668">
        <v>2</v>
      </c>
      <c r="AX54" s="668">
        <v>1</v>
      </c>
      <c r="AY54" s="668">
        <v>7</v>
      </c>
      <c r="AZ54" s="668">
        <v>7</v>
      </c>
      <c r="BA54" s="668">
        <v>7</v>
      </c>
      <c r="BB54" s="668">
        <v>7</v>
      </c>
      <c r="BC54" s="669">
        <v>7</v>
      </c>
    </row>
    <row r="55" spans="1:55" x14ac:dyDescent="0.25">
      <c r="A55" s="67">
        <v>18</v>
      </c>
      <c r="B55" s="40" t="s">
        <v>11</v>
      </c>
      <c r="C55">
        <v>2022</v>
      </c>
      <c r="E55" s="157">
        <v>17</v>
      </c>
      <c r="F55" s="157">
        <v>1</v>
      </c>
      <c r="G55" s="157"/>
      <c r="K55" s="485" t="s">
        <v>8</v>
      </c>
      <c r="L55" s="479">
        <v>3</v>
      </c>
      <c r="M55" s="26">
        <v>2</v>
      </c>
      <c r="N55" s="26">
        <v>1</v>
      </c>
      <c r="O55" s="22">
        <v>12</v>
      </c>
      <c r="P55" s="26">
        <v>11</v>
      </c>
      <c r="Q55" s="26">
        <v>10</v>
      </c>
      <c r="R55" s="474">
        <v>9</v>
      </c>
      <c r="S55" s="26">
        <v>8</v>
      </c>
      <c r="T55" s="26">
        <v>7</v>
      </c>
      <c r="U55" s="26">
        <v>6</v>
      </c>
      <c r="V55" s="26">
        <v>5</v>
      </c>
      <c r="W55" s="26">
        <v>4</v>
      </c>
      <c r="X55" s="494">
        <v>3</v>
      </c>
      <c r="AA55" s="485" t="s">
        <v>2</v>
      </c>
      <c r="AB55" s="479">
        <v>9</v>
      </c>
      <c r="AC55" s="26">
        <v>12</v>
      </c>
      <c r="AD55" s="26">
        <v>12</v>
      </c>
      <c r="AE55" s="26">
        <v>12</v>
      </c>
      <c r="AF55" s="26">
        <v>12</v>
      </c>
      <c r="AG55" s="26">
        <v>12</v>
      </c>
      <c r="AH55" s="26">
        <v>12</v>
      </c>
      <c r="AI55" s="26">
        <v>12</v>
      </c>
      <c r="AJ55" s="26">
        <v>12</v>
      </c>
      <c r="AK55" s="26">
        <v>8</v>
      </c>
      <c r="AL55" s="26">
        <v>9</v>
      </c>
      <c r="AM55" s="26">
        <v>10</v>
      </c>
      <c r="AN55" s="494">
        <v>11</v>
      </c>
      <c r="AO55" s="26">
        <v>21</v>
      </c>
      <c r="AP55" s="618" t="s">
        <v>2</v>
      </c>
      <c r="AQ55" s="667">
        <v>9</v>
      </c>
      <c r="AR55" s="670">
        <v>8</v>
      </c>
      <c r="AS55" s="668">
        <v>7</v>
      </c>
      <c r="AT55" s="668">
        <v>6</v>
      </c>
      <c r="AU55" s="668">
        <v>5</v>
      </c>
      <c r="AV55" s="668">
        <v>4</v>
      </c>
      <c r="AW55" s="668">
        <v>3</v>
      </c>
      <c r="AX55" s="668">
        <v>8</v>
      </c>
      <c r="AY55" s="668">
        <v>8</v>
      </c>
      <c r="AZ55" s="668">
        <v>8</v>
      </c>
      <c r="BA55" s="668">
        <v>8</v>
      </c>
      <c r="BB55" s="668">
        <v>8</v>
      </c>
      <c r="BC55" s="669">
        <v>8</v>
      </c>
    </row>
    <row r="56" spans="1:55" x14ac:dyDescent="0.25">
      <c r="A56" s="67">
        <v>19</v>
      </c>
      <c r="B56" s="40" t="s">
        <v>0</v>
      </c>
      <c r="C56">
        <v>2022</v>
      </c>
      <c r="E56" s="157">
        <v>18</v>
      </c>
      <c r="F56" s="157">
        <v>1</v>
      </c>
      <c r="G56" s="157"/>
      <c r="K56" s="485" t="s">
        <v>9</v>
      </c>
      <c r="L56" s="479">
        <v>4</v>
      </c>
      <c r="M56" s="26">
        <v>3</v>
      </c>
      <c r="N56" s="26">
        <v>2</v>
      </c>
      <c r="O56" s="26">
        <v>1</v>
      </c>
      <c r="P56" s="22">
        <v>12</v>
      </c>
      <c r="Q56" s="26">
        <v>11</v>
      </c>
      <c r="R56" s="474">
        <v>10</v>
      </c>
      <c r="S56" s="26">
        <v>9</v>
      </c>
      <c r="T56" s="26">
        <v>8</v>
      </c>
      <c r="U56" s="26">
        <v>7</v>
      </c>
      <c r="V56" s="26">
        <v>6</v>
      </c>
      <c r="W56" s="26">
        <v>5</v>
      </c>
      <c r="X56" s="494">
        <v>4</v>
      </c>
      <c r="AA56" s="485" t="s">
        <v>3</v>
      </c>
      <c r="AB56" s="479">
        <v>10</v>
      </c>
      <c r="AC56" s="26">
        <v>12</v>
      </c>
      <c r="AD56" s="26">
        <v>12</v>
      </c>
      <c r="AE56" s="26">
        <v>12</v>
      </c>
      <c r="AF56" s="26">
        <v>12</v>
      </c>
      <c r="AG56" s="26">
        <v>12</v>
      </c>
      <c r="AH56" s="26">
        <v>12</v>
      </c>
      <c r="AI56" s="26">
        <v>12</v>
      </c>
      <c r="AJ56" s="26">
        <v>12</v>
      </c>
      <c r="AK56" s="26">
        <v>12</v>
      </c>
      <c r="AL56" s="26">
        <v>9</v>
      </c>
      <c r="AM56" s="26">
        <v>10</v>
      </c>
      <c r="AN56" s="494">
        <v>11</v>
      </c>
      <c r="AO56" s="26">
        <v>21</v>
      </c>
      <c r="AP56" s="618" t="s">
        <v>3</v>
      </c>
      <c r="AQ56" s="667">
        <v>10</v>
      </c>
      <c r="AR56" s="668">
        <v>9</v>
      </c>
      <c r="AS56" s="668">
        <v>8</v>
      </c>
      <c r="AT56" s="668">
        <v>7</v>
      </c>
      <c r="AU56" s="668">
        <v>6</v>
      </c>
      <c r="AV56" s="668">
        <v>5</v>
      </c>
      <c r="AW56" s="668">
        <v>4</v>
      </c>
      <c r="AX56" s="668">
        <v>9</v>
      </c>
      <c r="AY56" s="668">
        <v>9</v>
      </c>
      <c r="AZ56" s="668">
        <v>9</v>
      </c>
      <c r="BA56" s="668">
        <v>9</v>
      </c>
      <c r="BB56" s="668">
        <v>9</v>
      </c>
      <c r="BC56" s="669">
        <v>9</v>
      </c>
    </row>
    <row r="57" spans="1:55" x14ac:dyDescent="0.25">
      <c r="A57" s="67">
        <v>20</v>
      </c>
      <c r="B57" s="40" t="s">
        <v>1</v>
      </c>
      <c r="C57">
        <v>2022</v>
      </c>
      <c r="E57" s="157">
        <v>19</v>
      </c>
      <c r="F57" s="157">
        <v>1</v>
      </c>
      <c r="G57" s="157"/>
      <c r="K57" s="485" t="s">
        <v>10</v>
      </c>
      <c r="L57" s="479">
        <v>5</v>
      </c>
      <c r="M57" s="26">
        <v>4</v>
      </c>
      <c r="N57" s="26">
        <v>3</v>
      </c>
      <c r="O57" s="26">
        <v>2</v>
      </c>
      <c r="P57" s="26">
        <v>1</v>
      </c>
      <c r="Q57" s="22">
        <v>12</v>
      </c>
      <c r="R57" s="474">
        <v>11</v>
      </c>
      <c r="S57" s="26">
        <v>10</v>
      </c>
      <c r="T57" s="26">
        <v>9</v>
      </c>
      <c r="U57" s="26">
        <v>8</v>
      </c>
      <c r="V57" s="26">
        <v>7</v>
      </c>
      <c r="W57" s="26">
        <v>6</v>
      </c>
      <c r="X57" s="494">
        <v>5</v>
      </c>
      <c r="AA57" s="485" t="s">
        <v>4</v>
      </c>
      <c r="AB57" s="479">
        <v>11</v>
      </c>
      <c r="AC57" s="26">
        <v>12</v>
      </c>
      <c r="AD57" s="26">
        <v>12</v>
      </c>
      <c r="AE57" s="26">
        <v>12</v>
      </c>
      <c r="AF57" s="26">
        <v>12</v>
      </c>
      <c r="AG57" s="26">
        <v>12</v>
      </c>
      <c r="AH57" s="26">
        <v>12</v>
      </c>
      <c r="AI57" s="26">
        <v>12</v>
      </c>
      <c r="AJ57" s="26">
        <v>12</v>
      </c>
      <c r="AK57" s="26">
        <v>12</v>
      </c>
      <c r="AL57" s="26">
        <v>12</v>
      </c>
      <c r="AM57" s="26">
        <v>10</v>
      </c>
      <c r="AN57" s="494">
        <v>11</v>
      </c>
      <c r="AO57" s="26">
        <v>21</v>
      </c>
      <c r="AP57" s="618" t="s">
        <v>4</v>
      </c>
      <c r="AQ57" s="667">
        <v>11</v>
      </c>
      <c r="AR57" s="668">
        <v>10</v>
      </c>
      <c r="AS57" s="668">
        <v>9</v>
      </c>
      <c r="AT57" s="668">
        <v>8</v>
      </c>
      <c r="AU57" s="668">
        <v>7</v>
      </c>
      <c r="AV57" s="668">
        <v>6</v>
      </c>
      <c r="AW57" s="668">
        <v>5</v>
      </c>
      <c r="AX57" s="668">
        <v>10</v>
      </c>
      <c r="AY57" s="668">
        <v>10</v>
      </c>
      <c r="AZ57" s="668">
        <v>10</v>
      </c>
      <c r="BA57" s="668">
        <v>10</v>
      </c>
      <c r="BB57" s="668">
        <v>10</v>
      </c>
      <c r="BC57" s="669">
        <v>10</v>
      </c>
    </row>
    <row r="58" spans="1:55" ht="15.75" thickBot="1" x14ac:dyDescent="0.3">
      <c r="A58" s="67">
        <v>21</v>
      </c>
      <c r="B58" s="40" t="s">
        <v>2</v>
      </c>
      <c r="C58">
        <v>2022</v>
      </c>
      <c r="E58" s="157">
        <v>20</v>
      </c>
      <c r="F58" s="157">
        <v>1</v>
      </c>
      <c r="G58" s="157"/>
      <c r="K58" s="486" t="s">
        <v>11</v>
      </c>
      <c r="L58" s="480">
        <v>6</v>
      </c>
      <c r="M58" s="426">
        <v>5</v>
      </c>
      <c r="N58" s="426">
        <v>4</v>
      </c>
      <c r="O58" s="426">
        <v>3</v>
      </c>
      <c r="P58" s="426">
        <v>2</v>
      </c>
      <c r="Q58" s="426">
        <v>1</v>
      </c>
      <c r="R58" s="475">
        <v>12</v>
      </c>
      <c r="S58" s="426">
        <v>11</v>
      </c>
      <c r="T58" s="426">
        <v>10</v>
      </c>
      <c r="U58" s="426">
        <v>9</v>
      </c>
      <c r="V58" s="426">
        <v>8</v>
      </c>
      <c r="W58" s="426">
        <v>7</v>
      </c>
      <c r="X58" s="475">
        <v>6</v>
      </c>
      <c r="AA58" s="486" t="s">
        <v>5</v>
      </c>
      <c r="AB58" s="480">
        <v>12</v>
      </c>
      <c r="AC58" s="426">
        <v>12</v>
      </c>
      <c r="AD58" s="426">
        <v>12</v>
      </c>
      <c r="AE58" s="426">
        <v>12</v>
      </c>
      <c r="AF58" s="426">
        <v>12</v>
      </c>
      <c r="AG58" s="426">
        <v>12</v>
      </c>
      <c r="AH58" s="426">
        <v>12</v>
      </c>
      <c r="AI58" s="426">
        <v>12</v>
      </c>
      <c r="AJ58" s="426">
        <v>12</v>
      </c>
      <c r="AK58" s="426">
        <v>12</v>
      </c>
      <c r="AL58" s="426">
        <v>12</v>
      </c>
      <c r="AM58" s="426">
        <v>12</v>
      </c>
      <c r="AN58" s="475">
        <v>11</v>
      </c>
      <c r="AO58" s="26">
        <v>21</v>
      </c>
      <c r="AP58" s="619" t="s">
        <v>5</v>
      </c>
      <c r="AQ58" s="671">
        <v>12</v>
      </c>
      <c r="AR58" s="681">
        <v>11</v>
      </c>
      <c r="AS58" s="681">
        <v>10</v>
      </c>
      <c r="AT58" s="681">
        <v>9</v>
      </c>
      <c r="AU58" s="681">
        <v>8</v>
      </c>
      <c r="AV58" s="681">
        <v>7</v>
      </c>
      <c r="AW58" s="681">
        <v>6</v>
      </c>
      <c r="AX58" s="680">
        <v>11</v>
      </c>
      <c r="AY58" s="681">
        <v>11</v>
      </c>
      <c r="AZ58" s="681">
        <v>11</v>
      </c>
      <c r="BA58" s="681">
        <v>11</v>
      </c>
      <c r="BB58" s="681">
        <v>11</v>
      </c>
      <c r="BC58" s="682">
        <v>11</v>
      </c>
    </row>
    <row r="59" spans="1:55" x14ac:dyDescent="0.25">
      <c r="A59" s="67">
        <v>22</v>
      </c>
      <c r="B59" s="40" t="s">
        <v>3</v>
      </c>
      <c r="C59">
        <v>2022</v>
      </c>
      <c r="E59" s="157">
        <v>21</v>
      </c>
      <c r="F59" s="157">
        <v>1</v>
      </c>
      <c r="G59" s="157"/>
      <c r="K59" s="9"/>
    </row>
    <row r="60" spans="1:55" ht="15.75" thickBot="1" x14ac:dyDescent="0.3">
      <c r="A60" s="67">
        <v>23</v>
      </c>
      <c r="B60" s="40" t="s">
        <v>4</v>
      </c>
      <c r="C60">
        <v>2022</v>
      </c>
      <c r="E60" s="157">
        <v>22</v>
      </c>
      <c r="F60" s="157">
        <v>1</v>
      </c>
      <c r="G60" s="157"/>
      <c r="K60" s="9"/>
      <c r="AA60" s="498"/>
      <c r="AB60" s="29"/>
      <c r="AC60" s="29"/>
      <c r="AD60" s="29"/>
      <c r="AE60" s="29"/>
      <c r="AF60" s="29"/>
      <c r="AG60" s="29"/>
      <c r="AH60" s="29"/>
      <c r="AI60" s="29"/>
      <c r="AJ60" s="29"/>
      <c r="AK60" s="29"/>
      <c r="AL60" s="29"/>
      <c r="AM60" s="29"/>
      <c r="AN60" s="29"/>
    </row>
    <row r="61" spans="1:55" x14ac:dyDescent="0.25">
      <c r="A61" s="67">
        <v>24</v>
      </c>
      <c r="B61" s="40" t="s">
        <v>5</v>
      </c>
      <c r="C61">
        <v>2022</v>
      </c>
      <c r="E61" s="157">
        <v>23</v>
      </c>
      <c r="F61" s="157">
        <v>1</v>
      </c>
      <c r="G61" s="157"/>
      <c r="K61" s="534" t="s">
        <v>558</v>
      </c>
      <c r="L61" s="535"/>
      <c r="M61" s="535"/>
      <c r="N61" s="535"/>
      <c r="O61" s="535"/>
      <c r="P61" s="535"/>
      <c r="Q61" s="535"/>
      <c r="R61" s="535"/>
      <c r="S61" s="535"/>
      <c r="T61" s="535"/>
      <c r="U61" s="535"/>
      <c r="V61" s="535"/>
      <c r="W61" s="535"/>
      <c r="X61" s="535"/>
      <c r="Y61" s="536"/>
      <c r="AA61" s="488" t="s">
        <v>572</v>
      </c>
      <c r="AB61" s="489"/>
      <c r="AC61" s="489"/>
      <c r="AD61" s="489"/>
      <c r="AE61" s="489"/>
      <c r="AF61" s="489"/>
      <c r="AG61" s="489"/>
      <c r="AH61" s="489"/>
      <c r="AI61" s="489"/>
      <c r="AJ61" s="489"/>
      <c r="AK61" s="489"/>
      <c r="AL61" s="489"/>
      <c r="AM61" s="489"/>
      <c r="AN61" s="490"/>
    </row>
    <row r="62" spans="1:55" ht="15.75" x14ac:dyDescent="0.25">
      <c r="A62" s="67">
        <v>25</v>
      </c>
      <c r="B62" s="40" t="s">
        <v>6</v>
      </c>
      <c r="C62">
        <v>2023</v>
      </c>
      <c r="E62" s="157">
        <v>24</v>
      </c>
      <c r="F62" s="157">
        <v>1.5</v>
      </c>
      <c r="G62" s="157"/>
      <c r="K62" s="537"/>
      <c r="L62" s="538"/>
      <c r="M62" s="539">
        <v>1</v>
      </c>
      <c r="N62" s="539">
        <v>2</v>
      </c>
      <c r="O62" s="539">
        <v>3</v>
      </c>
      <c r="P62" s="539">
        <v>4</v>
      </c>
      <c r="Q62" s="539">
        <v>5</v>
      </c>
      <c r="R62" s="539">
        <v>6</v>
      </c>
      <c r="S62" s="539">
        <v>7</v>
      </c>
      <c r="T62" s="539">
        <v>8</v>
      </c>
      <c r="U62" s="539">
        <v>9</v>
      </c>
      <c r="V62" s="539">
        <v>10</v>
      </c>
      <c r="W62" s="539">
        <v>11</v>
      </c>
      <c r="X62" s="539">
        <v>12</v>
      </c>
      <c r="Y62" s="540">
        <v>0</v>
      </c>
      <c r="AA62" s="487" t="s">
        <v>551</v>
      </c>
      <c r="AB62" s="481"/>
      <c r="AC62" s="481" t="s">
        <v>6</v>
      </c>
      <c r="AD62" s="481" t="s">
        <v>7</v>
      </c>
      <c r="AE62" s="481" t="s">
        <v>8</v>
      </c>
      <c r="AF62" s="481" t="s">
        <v>9</v>
      </c>
      <c r="AG62" s="482" t="s">
        <v>10</v>
      </c>
      <c r="AH62" s="481" t="s">
        <v>11</v>
      </c>
      <c r="AI62" s="481" t="s">
        <v>0</v>
      </c>
      <c r="AJ62" s="481" t="s">
        <v>1</v>
      </c>
      <c r="AK62" s="481" t="s">
        <v>2</v>
      </c>
      <c r="AL62" s="481" t="s">
        <v>3</v>
      </c>
      <c r="AM62" s="481" t="s">
        <v>4</v>
      </c>
      <c r="AN62" s="483" t="s">
        <v>5</v>
      </c>
      <c r="AQ62" s="631" t="s">
        <v>571</v>
      </c>
      <c r="AR62" s="1285">
        <v>0.5161</v>
      </c>
      <c r="AS62" s="1285"/>
    </row>
    <row r="63" spans="1:55" x14ac:dyDescent="0.25">
      <c r="A63" s="67">
        <v>26</v>
      </c>
      <c r="B63" s="40" t="s">
        <v>7</v>
      </c>
      <c r="C63">
        <v>2023</v>
      </c>
      <c r="E63" s="157">
        <v>25</v>
      </c>
      <c r="F63" s="157">
        <v>1.5</v>
      </c>
      <c r="G63" s="157"/>
      <c r="K63" s="541" t="s">
        <v>6</v>
      </c>
      <c r="L63" s="542">
        <v>1</v>
      </c>
      <c r="M63" s="300">
        <v>23</v>
      </c>
      <c r="N63" s="300">
        <v>33</v>
      </c>
      <c r="O63" s="300">
        <v>33</v>
      </c>
      <c r="P63" s="300">
        <v>33</v>
      </c>
      <c r="Q63" s="300">
        <v>33</v>
      </c>
      <c r="R63" s="300">
        <v>33</v>
      </c>
      <c r="S63" s="300">
        <v>33</v>
      </c>
      <c r="T63" s="300">
        <v>33</v>
      </c>
      <c r="U63" s="300">
        <v>33</v>
      </c>
      <c r="V63" s="300">
        <v>33</v>
      </c>
      <c r="W63" s="300">
        <v>43</v>
      </c>
      <c r="X63" s="300">
        <v>65</v>
      </c>
      <c r="Y63" s="543">
        <v>0</v>
      </c>
      <c r="AA63" s="617" t="s">
        <v>550</v>
      </c>
      <c r="AB63" s="593">
        <v>0</v>
      </c>
      <c r="AC63" s="594">
        <v>1</v>
      </c>
      <c r="AD63" s="594">
        <v>2</v>
      </c>
      <c r="AE63" s="594">
        <v>3</v>
      </c>
      <c r="AF63" s="594">
        <v>4</v>
      </c>
      <c r="AG63" s="594">
        <v>5</v>
      </c>
      <c r="AH63" s="594">
        <v>6</v>
      </c>
      <c r="AI63" s="594">
        <v>7</v>
      </c>
      <c r="AJ63" s="594">
        <v>8</v>
      </c>
      <c r="AK63" s="594">
        <v>9</v>
      </c>
      <c r="AL63" s="594">
        <v>10</v>
      </c>
      <c r="AM63" s="594">
        <v>11</v>
      </c>
      <c r="AN63" s="595">
        <v>12</v>
      </c>
      <c r="AQ63" s="632" t="s">
        <v>4</v>
      </c>
      <c r="AR63" s="1286">
        <v>0.4839</v>
      </c>
      <c r="AS63" s="1286"/>
    </row>
    <row r="64" spans="1:55" x14ac:dyDescent="0.25">
      <c r="A64" s="67">
        <v>27</v>
      </c>
      <c r="B64" s="40" t="s">
        <v>8</v>
      </c>
      <c r="C64">
        <v>2023</v>
      </c>
      <c r="E64" s="157">
        <v>26</v>
      </c>
      <c r="F64" s="157">
        <v>1.5</v>
      </c>
      <c r="G64" s="157"/>
      <c r="K64" s="541" t="s">
        <v>7</v>
      </c>
      <c r="L64" s="542">
        <v>2</v>
      </c>
      <c r="M64" s="300">
        <v>10</v>
      </c>
      <c r="N64" s="300">
        <v>10</v>
      </c>
      <c r="O64" s="300">
        <v>10</v>
      </c>
      <c r="P64" s="300">
        <v>10</v>
      </c>
      <c r="Q64" s="300">
        <v>10</v>
      </c>
      <c r="R64" s="300">
        <v>10</v>
      </c>
      <c r="S64" s="300">
        <v>10</v>
      </c>
      <c r="T64" s="300">
        <v>10</v>
      </c>
      <c r="U64" s="300">
        <v>10</v>
      </c>
      <c r="V64" s="300">
        <v>20</v>
      </c>
      <c r="W64" s="300">
        <v>42</v>
      </c>
      <c r="X64" s="300">
        <v>65</v>
      </c>
      <c r="Y64" s="543">
        <v>0</v>
      </c>
      <c r="AA64" s="618" t="s">
        <v>6</v>
      </c>
      <c r="AB64" s="596">
        <v>1</v>
      </c>
      <c r="AC64" s="620">
        <v>0</v>
      </c>
      <c r="AD64" s="620">
        <v>0</v>
      </c>
      <c r="AE64" s="620">
        <v>0.5161</v>
      </c>
      <c r="AF64" s="620">
        <v>1.5161</v>
      </c>
      <c r="AG64" s="620">
        <v>2.5160999999999998</v>
      </c>
      <c r="AH64" s="620">
        <v>3.5160999999999998</v>
      </c>
      <c r="AI64" s="620">
        <v>4.5160999999999998</v>
      </c>
      <c r="AJ64" s="620">
        <v>5.5160999999999998</v>
      </c>
      <c r="AK64" s="620">
        <v>6.5160999999999998</v>
      </c>
      <c r="AL64" s="620">
        <v>7.5160999999999998</v>
      </c>
      <c r="AM64" s="620">
        <v>8.5160999999999998</v>
      </c>
      <c r="AN64" s="621">
        <v>9</v>
      </c>
    </row>
    <row r="65" spans="1:40" x14ac:dyDescent="0.25">
      <c r="A65" s="67">
        <v>28</v>
      </c>
      <c r="B65" s="40" t="s">
        <v>9</v>
      </c>
      <c r="C65">
        <v>2023</v>
      </c>
      <c r="E65" s="157">
        <v>27</v>
      </c>
      <c r="F65" s="157">
        <v>1.5</v>
      </c>
      <c r="G65" s="157"/>
      <c r="K65" s="541" t="s">
        <v>8</v>
      </c>
      <c r="L65" s="542">
        <v>3</v>
      </c>
      <c r="M65" s="300">
        <v>0</v>
      </c>
      <c r="N65" s="300">
        <v>0</v>
      </c>
      <c r="O65" s="300">
        <v>0</v>
      </c>
      <c r="P65" s="300">
        <v>0</v>
      </c>
      <c r="Q65" s="300">
        <v>0</v>
      </c>
      <c r="R65" s="300">
        <v>0</v>
      </c>
      <c r="S65" s="300">
        <v>0</v>
      </c>
      <c r="T65" s="300">
        <v>0</v>
      </c>
      <c r="U65" s="300">
        <v>10</v>
      </c>
      <c r="V65" s="300">
        <v>32</v>
      </c>
      <c r="W65" s="300">
        <v>55</v>
      </c>
      <c r="X65" s="300">
        <v>65</v>
      </c>
      <c r="Y65" s="543">
        <v>0</v>
      </c>
      <c r="AA65" s="618" t="s">
        <v>7</v>
      </c>
      <c r="AB65" s="596">
        <v>2</v>
      </c>
      <c r="AC65" s="622">
        <v>9</v>
      </c>
      <c r="AD65" s="620">
        <v>0</v>
      </c>
      <c r="AE65" s="620">
        <v>0.5161</v>
      </c>
      <c r="AF65" s="620">
        <v>1.5161</v>
      </c>
      <c r="AG65" s="620">
        <v>2.5160999999999998</v>
      </c>
      <c r="AH65" s="620">
        <v>3.5160999999999998</v>
      </c>
      <c r="AI65" s="620">
        <v>4.5160999999999998</v>
      </c>
      <c r="AJ65" s="620">
        <v>5.5160999999999998</v>
      </c>
      <c r="AK65" s="620">
        <v>6.5160999999999998</v>
      </c>
      <c r="AL65" s="620">
        <v>7.5160999999999998</v>
      </c>
      <c r="AM65" s="620">
        <v>8.5160999999999998</v>
      </c>
      <c r="AN65" s="621">
        <v>9</v>
      </c>
    </row>
    <row r="66" spans="1:40" x14ac:dyDescent="0.25">
      <c r="A66" s="67">
        <v>29</v>
      </c>
      <c r="B66" s="40" t="s">
        <v>10</v>
      </c>
      <c r="C66">
        <v>2023</v>
      </c>
      <c r="E66" s="157">
        <v>28</v>
      </c>
      <c r="F66" s="157">
        <v>1.5</v>
      </c>
      <c r="G66" s="157"/>
      <c r="K66" s="541" t="s">
        <v>9</v>
      </c>
      <c r="L66" s="542">
        <v>4</v>
      </c>
      <c r="M66" s="300">
        <v>0</v>
      </c>
      <c r="N66" s="300">
        <v>0</v>
      </c>
      <c r="O66" s="300">
        <v>0</v>
      </c>
      <c r="P66" s="300">
        <v>0</v>
      </c>
      <c r="Q66" s="300">
        <v>0</v>
      </c>
      <c r="R66" s="300">
        <v>0</v>
      </c>
      <c r="S66" s="300">
        <v>0</v>
      </c>
      <c r="T66" s="300">
        <v>10</v>
      </c>
      <c r="U66" s="300">
        <v>32</v>
      </c>
      <c r="V66" s="300">
        <v>55</v>
      </c>
      <c r="W66" s="300">
        <v>65</v>
      </c>
      <c r="X66" s="300">
        <v>65</v>
      </c>
      <c r="Y66" s="543">
        <v>0</v>
      </c>
      <c r="AA66" s="618" t="s">
        <v>8</v>
      </c>
      <c r="AB66" s="596">
        <v>3</v>
      </c>
      <c r="AC66" s="622">
        <v>9</v>
      </c>
      <c r="AD66" s="622">
        <v>9</v>
      </c>
      <c r="AE66" s="620">
        <v>0.5161</v>
      </c>
      <c r="AF66" s="620">
        <v>1.5161</v>
      </c>
      <c r="AG66" s="620">
        <v>2.5160999999999998</v>
      </c>
      <c r="AH66" s="620">
        <v>3.5160999999999998</v>
      </c>
      <c r="AI66" s="620">
        <v>4.5160999999999998</v>
      </c>
      <c r="AJ66" s="620">
        <v>5.5160999999999998</v>
      </c>
      <c r="AK66" s="620">
        <v>6.5160999999999998</v>
      </c>
      <c r="AL66" s="620">
        <v>7.5160999999999998</v>
      </c>
      <c r="AM66" s="620">
        <v>8.5160999999999998</v>
      </c>
      <c r="AN66" s="621">
        <v>9</v>
      </c>
    </row>
    <row r="67" spans="1:40" x14ac:dyDescent="0.25">
      <c r="A67" s="67">
        <v>30</v>
      </c>
      <c r="B67" s="40" t="s">
        <v>11</v>
      </c>
      <c r="C67">
        <v>2023</v>
      </c>
      <c r="E67" s="157">
        <v>29</v>
      </c>
      <c r="F67" s="157">
        <v>1.5</v>
      </c>
      <c r="G67" s="157"/>
      <c r="K67" s="541" t="s">
        <v>10</v>
      </c>
      <c r="L67" s="542">
        <v>5</v>
      </c>
      <c r="M67" s="300">
        <v>0</v>
      </c>
      <c r="N67" s="300">
        <v>0</v>
      </c>
      <c r="O67" s="300">
        <v>0</v>
      </c>
      <c r="P67" s="300">
        <v>0</v>
      </c>
      <c r="Q67" s="300">
        <v>0</v>
      </c>
      <c r="R67" s="300">
        <v>0</v>
      </c>
      <c r="S67" s="300">
        <v>10</v>
      </c>
      <c r="T67" s="300">
        <v>32</v>
      </c>
      <c r="U67" s="300">
        <v>55</v>
      </c>
      <c r="V67" s="300">
        <v>65</v>
      </c>
      <c r="W67" s="300">
        <v>65</v>
      </c>
      <c r="X67" s="300">
        <v>65</v>
      </c>
      <c r="Y67" s="543">
        <v>0</v>
      </c>
      <c r="AA67" s="618" t="s">
        <v>9</v>
      </c>
      <c r="AB67" s="596">
        <v>4</v>
      </c>
      <c r="AC67" s="622">
        <v>9</v>
      </c>
      <c r="AD67" s="622">
        <v>9</v>
      </c>
      <c r="AE67" s="622">
        <v>9</v>
      </c>
      <c r="AF67" s="620">
        <v>1.5161</v>
      </c>
      <c r="AG67" s="620">
        <v>2.5160999999999998</v>
      </c>
      <c r="AH67" s="620">
        <v>3.5160999999999998</v>
      </c>
      <c r="AI67" s="620">
        <v>4.5160999999999998</v>
      </c>
      <c r="AJ67" s="620">
        <v>5.5160999999999998</v>
      </c>
      <c r="AK67" s="620">
        <v>6.5160999999999998</v>
      </c>
      <c r="AL67" s="620">
        <v>7.5160999999999998</v>
      </c>
      <c r="AM67" s="620">
        <v>8.5160999999999998</v>
      </c>
      <c r="AN67" s="621">
        <v>9</v>
      </c>
    </row>
    <row r="68" spans="1:40" x14ac:dyDescent="0.25">
      <c r="A68" s="67">
        <v>31</v>
      </c>
      <c r="B68" s="40" t="s">
        <v>0</v>
      </c>
      <c r="C68">
        <v>2023</v>
      </c>
      <c r="E68" s="157">
        <v>30</v>
      </c>
      <c r="F68" s="157">
        <v>1.5</v>
      </c>
      <c r="G68" s="157"/>
      <c r="K68" s="541" t="s">
        <v>11</v>
      </c>
      <c r="L68" s="542">
        <v>6</v>
      </c>
      <c r="M68" s="300">
        <v>0</v>
      </c>
      <c r="N68" s="300">
        <v>0</v>
      </c>
      <c r="O68" s="300">
        <v>0</v>
      </c>
      <c r="P68" s="300">
        <v>0</v>
      </c>
      <c r="Q68" s="300">
        <v>0</v>
      </c>
      <c r="R68" s="300">
        <v>10</v>
      </c>
      <c r="S68" s="300">
        <v>32</v>
      </c>
      <c r="T68" s="300">
        <v>55</v>
      </c>
      <c r="U68" s="300">
        <v>65</v>
      </c>
      <c r="V68" s="300">
        <v>65</v>
      </c>
      <c r="W68" s="300">
        <v>65</v>
      </c>
      <c r="X68" s="300">
        <v>65</v>
      </c>
      <c r="Y68" s="543">
        <v>0</v>
      </c>
      <c r="AA68" s="618" t="s">
        <v>10</v>
      </c>
      <c r="AB68" s="596">
        <v>5</v>
      </c>
      <c r="AC68" s="622">
        <v>9</v>
      </c>
      <c r="AD68" s="622">
        <v>9</v>
      </c>
      <c r="AE68" s="622">
        <v>9</v>
      </c>
      <c r="AF68" s="622">
        <v>9</v>
      </c>
      <c r="AG68" s="620">
        <v>2.5160999999999998</v>
      </c>
      <c r="AH68" s="620">
        <v>3.5160999999999998</v>
      </c>
      <c r="AI68" s="620">
        <v>4.5160999999999998</v>
      </c>
      <c r="AJ68" s="620">
        <v>5.5160999999999998</v>
      </c>
      <c r="AK68" s="620">
        <v>6.5160999999999998</v>
      </c>
      <c r="AL68" s="620">
        <v>7.5160999999999998</v>
      </c>
      <c r="AM68" s="620">
        <v>8.5160999999999998</v>
      </c>
      <c r="AN68" s="621">
        <v>9</v>
      </c>
    </row>
    <row r="69" spans="1:40" x14ac:dyDescent="0.25">
      <c r="A69" s="67">
        <v>32</v>
      </c>
      <c r="B69" s="40" t="s">
        <v>1</v>
      </c>
      <c r="C69">
        <v>2023</v>
      </c>
      <c r="E69" s="157">
        <v>31</v>
      </c>
      <c r="F69" s="157">
        <v>1.5</v>
      </c>
      <c r="G69" s="157"/>
      <c r="K69" s="541" t="s">
        <v>0</v>
      </c>
      <c r="L69" s="542">
        <v>7</v>
      </c>
      <c r="M69" s="300">
        <v>0</v>
      </c>
      <c r="N69" s="300">
        <v>0</v>
      </c>
      <c r="O69" s="300">
        <v>0</v>
      </c>
      <c r="P69" s="300">
        <v>0</v>
      </c>
      <c r="Q69" s="300">
        <v>10</v>
      </c>
      <c r="R69" s="300">
        <v>32</v>
      </c>
      <c r="S69" s="300">
        <v>55</v>
      </c>
      <c r="T69" s="300">
        <v>65</v>
      </c>
      <c r="U69" s="300">
        <v>65</v>
      </c>
      <c r="V69" s="300">
        <v>65</v>
      </c>
      <c r="W69" s="300">
        <v>65</v>
      </c>
      <c r="X69" s="300">
        <v>65</v>
      </c>
      <c r="Y69" s="543">
        <v>0</v>
      </c>
      <c r="AA69" s="618" t="s">
        <v>11</v>
      </c>
      <c r="AB69" s="596">
        <v>6</v>
      </c>
      <c r="AC69" s="622">
        <v>9</v>
      </c>
      <c r="AD69" s="622">
        <v>9</v>
      </c>
      <c r="AE69" s="622">
        <v>9</v>
      </c>
      <c r="AF69" s="622">
        <v>9</v>
      </c>
      <c r="AG69" s="622">
        <v>9</v>
      </c>
      <c r="AH69" s="620">
        <v>3.5160999999999998</v>
      </c>
      <c r="AI69" s="620">
        <v>4.5160999999999998</v>
      </c>
      <c r="AJ69" s="620">
        <v>5.5160999999999998</v>
      </c>
      <c r="AK69" s="620">
        <v>6.5160999999999998</v>
      </c>
      <c r="AL69" s="620">
        <v>7.5160999999999998</v>
      </c>
      <c r="AM69" s="620">
        <v>8.5160999999999998</v>
      </c>
      <c r="AN69" s="621">
        <v>9</v>
      </c>
    </row>
    <row r="70" spans="1:40" x14ac:dyDescent="0.25">
      <c r="A70" s="67">
        <v>33</v>
      </c>
      <c r="B70" s="40" t="s">
        <v>2</v>
      </c>
      <c r="C70">
        <v>2023</v>
      </c>
      <c r="E70" s="157">
        <v>32</v>
      </c>
      <c r="F70" s="157">
        <v>1.5</v>
      </c>
      <c r="G70" s="157"/>
      <c r="K70" s="541" t="s">
        <v>1</v>
      </c>
      <c r="L70" s="542">
        <v>8</v>
      </c>
      <c r="M70" s="300">
        <v>0</v>
      </c>
      <c r="N70" s="300">
        <v>0</v>
      </c>
      <c r="O70" s="300">
        <v>0</v>
      </c>
      <c r="P70" s="300">
        <v>10</v>
      </c>
      <c r="Q70" s="300">
        <v>32</v>
      </c>
      <c r="R70" s="300">
        <v>55</v>
      </c>
      <c r="S70" s="300">
        <v>65</v>
      </c>
      <c r="T70" s="300">
        <v>65</v>
      </c>
      <c r="U70" s="300">
        <v>65</v>
      </c>
      <c r="V70" s="300">
        <v>65</v>
      </c>
      <c r="W70" s="300">
        <v>65</v>
      </c>
      <c r="X70" s="300">
        <v>65</v>
      </c>
      <c r="Y70" s="543">
        <v>0</v>
      </c>
      <c r="AA70" s="618" t="s">
        <v>0</v>
      </c>
      <c r="AB70" s="596">
        <v>7</v>
      </c>
      <c r="AC70" s="620">
        <v>0</v>
      </c>
      <c r="AD70" s="620">
        <v>0</v>
      </c>
      <c r="AE70" s="620">
        <v>0.5161</v>
      </c>
      <c r="AF70" s="620">
        <v>1.5161</v>
      </c>
      <c r="AG70" s="620">
        <v>2.5160999999999998</v>
      </c>
      <c r="AH70" s="620">
        <v>3.5160999999999998</v>
      </c>
      <c r="AI70" s="624">
        <v>0</v>
      </c>
      <c r="AJ70" s="624">
        <v>0</v>
      </c>
      <c r="AK70" s="624">
        <v>0</v>
      </c>
      <c r="AL70" s="624">
        <v>0</v>
      </c>
      <c r="AM70" s="624">
        <v>0</v>
      </c>
      <c r="AN70" s="625">
        <v>0</v>
      </c>
    </row>
    <row r="71" spans="1:40" x14ac:dyDescent="0.25">
      <c r="A71" s="67">
        <v>34</v>
      </c>
      <c r="B71" s="40" t="s">
        <v>3</v>
      </c>
      <c r="C71">
        <v>2023</v>
      </c>
      <c r="E71" s="157">
        <v>33</v>
      </c>
      <c r="F71" s="157">
        <v>1.5</v>
      </c>
      <c r="G71" s="157"/>
      <c r="K71" s="541" t="s">
        <v>2</v>
      </c>
      <c r="L71" s="542">
        <v>9</v>
      </c>
      <c r="M71" s="300">
        <v>0</v>
      </c>
      <c r="N71" s="300">
        <v>0</v>
      </c>
      <c r="O71" s="300">
        <v>10</v>
      </c>
      <c r="P71" s="300">
        <v>32</v>
      </c>
      <c r="Q71" s="300">
        <v>55</v>
      </c>
      <c r="R71" s="300">
        <v>65</v>
      </c>
      <c r="S71" s="300">
        <v>65</v>
      </c>
      <c r="T71" s="300">
        <v>65</v>
      </c>
      <c r="U71" s="300">
        <v>65</v>
      </c>
      <c r="V71" s="300">
        <v>65</v>
      </c>
      <c r="W71" s="300">
        <v>65</v>
      </c>
      <c r="X71" s="300">
        <v>65</v>
      </c>
      <c r="Y71" s="543">
        <v>0</v>
      </c>
      <c r="AA71" s="618" t="s">
        <v>1</v>
      </c>
      <c r="AB71" s="596">
        <v>8</v>
      </c>
      <c r="AC71" s="623">
        <v>0</v>
      </c>
      <c r="AD71" s="623">
        <v>0</v>
      </c>
      <c r="AE71" s="623">
        <v>0.5161</v>
      </c>
      <c r="AF71" s="623">
        <v>1.5161</v>
      </c>
      <c r="AG71" s="623">
        <v>2.5160999999999998</v>
      </c>
      <c r="AH71" s="623">
        <v>3.5160999999999998</v>
      </c>
      <c r="AI71" s="623">
        <v>4.5160999999999998</v>
      </c>
      <c r="AJ71" s="624">
        <v>0</v>
      </c>
      <c r="AK71" s="624">
        <v>0</v>
      </c>
      <c r="AL71" s="624">
        <v>0</v>
      </c>
      <c r="AM71" s="624">
        <v>0</v>
      </c>
      <c r="AN71" s="625">
        <v>0</v>
      </c>
    </row>
    <row r="72" spans="1:40" x14ac:dyDescent="0.25">
      <c r="A72" s="67">
        <v>35</v>
      </c>
      <c r="B72" s="40" t="s">
        <v>4</v>
      </c>
      <c r="C72">
        <v>2023</v>
      </c>
      <c r="E72" s="157">
        <v>34</v>
      </c>
      <c r="F72" s="157">
        <v>2</v>
      </c>
      <c r="G72" s="157"/>
      <c r="K72" s="541" t="s">
        <v>3</v>
      </c>
      <c r="L72" s="542">
        <v>10</v>
      </c>
      <c r="M72" s="300">
        <v>0</v>
      </c>
      <c r="N72" s="300">
        <v>10</v>
      </c>
      <c r="O72" s="300">
        <v>32</v>
      </c>
      <c r="P72" s="300">
        <v>55</v>
      </c>
      <c r="Q72" s="300">
        <v>65</v>
      </c>
      <c r="R72" s="300">
        <v>65</v>
      </c>
      <c r="S72" s="300">
        <v>65</v>
      </c>
      <c r="T72" s="300">
        <v>65</v>
      </c>
      <c r="U72" s="300">
        <v>65</v>
      </c>
      <c r="V72" s="300">
        <v>65</v>
      </c>
      <c r="W72" s="300">
        <v>65</v>
      </c>
      <c r="X72" s="300">
        <v>65</v>
      </c>
      <c r="Y72" s="543">
        <v>0</v>
      </c>
      <c r="AA72" s="618" t="s">
        <v>2</v>
      </c>
      <c r="AB72" s="596">
        <v>9</v>
      </c>
      <c r="AC72" s="623">
        <v>0</v>
      </c>
      <c r="AD72" s="623">
        <v>0</v>
      </c>
      <c r="AE72" s="623">
        <v>0.5161</v>
      </c>
      <c r="AF72" s="623">
        <v>1.5161</v>
      </c>
      <c r="AG72" s="623">
        <v>2.5160999999999998</v>
      </c>
      <c r="AH72" s="623">
        <v>3.5160999999999998</v>
      </c>
      <c r="AI72" s="623">
        <v>4.5160999999999998</v>
      </c>
      <c r="AJ72" s="623">
        <v>5.5160999999999998</v>
      </c>
      <c r="AK72" s="626">
        <v>0</v>
      </c>
      <c r="AL72" s="626">
        <v>0</v>
      </c>
      <c r="AM72" s="626">
        <v>0</v>
      </c>
      <c r="AN72" s="627">
        <v>0</v>
      </c>
    </row>
    <row r="73" spans="1:40" x14ac:dyDescent="0.25">
      <c r="A73" s="67">
        <v>36</v>
      </c>
      <c r="B73" s="40" t="s">
        <v>5</v>
      </c>
      <c r="C73">
        <v>2023</v>
      </c>
      <c r="E73" s="157">
        <v>35</v>
      </c>
      <c r="F73" s="157">
        <v>2</v>
      </c>
      <c r="G73" s="157"/>
      <c r="K73" s="541" t="s">
        <v>4</v>
      </c>
      <c r="L73" s="542">
        <v>11</v>
      </c>
      <c r="M73" s="300">
        <v>10</v>
      </c>
      <c r="N73" s="300">
        <v>32</v>
      </c>
      <c r="O73" s="300">
        <v>55</v>
      </c>
      <c r="P73" s="300">
        <v>65</v>
      </c>
      <c r="Q73" s="300">
        <v>65</v>
      </c>
      <c r="R73" s="300">
        <v>65</v>
      </c>
      <c r="S73" s="300">
        <v>65</v>
      </c>
      <c r="T73" s="300">
        <v>65</v>
      </c>
      <c r="U73" s="300">
        <v>65</v>
      </c>
      <c r="V73" s="300">
        <v>65</v>
      </c>
      <c r="W73" s="300">
        <v>65</v>
      </c>
      <c r="X73" s="300">
        <v>65</v>
      </c>
      <c r="Y73" s="543">
        <v>0</v>
      </c>
      <c r="AA73" s="618" t="s">
        <v>3</v>
      </c>
      <c r="AB73" s="596">
        <v>10</v>
      </c>
      <c r="AC73" s="620">
        <v>0</v>
      </c>
      <c r="AD73" s="620">
        <v>0</v>
      </c>
      <c r="AE73" s="620">
        <v>0.5161</v>
      </c>
      <c r="AF73" s="623">
        <v>1.5161</v>
      </c>
      <c r="AG73" s="623">
        <v>2.5160999999999998</v>
      </c>
      <c r="AH73" s="623">
        <v>3.5160999999999998</v>
      </c>
      <c r="AI73" s="623">
        <v>4.5160999999999998</v>
      </c>
      <c r="AJ73" s="623">
        <v>5.5160999999999998</v>
      </c>
      <c r="AK73" s="620">
        <v>6.5160999999999998</v>
      </c>
      <c r="AL73" s="624">
        <v>0</v>
      </c>
      <c r="AM73" s="626">
        <v>0</v>
      </c>
      <c r="AN73" s="627">
        <v>0</v>
      </c>
    </row>
    <row r="74" spans="1:40" ht="15.75" thickBot="1" x14ac:dyDescent="0.3">
      <c r="A74" s="67">
        <v>37</v>
      </c>
      <c r="B74" s="40" t="s">
        <v>6</v>
      </c>
      <c r="C74">
        <v>2024</v>
      </c>
      <c r="E74" s="157">
        <v>36</v>
      </c>
      <c r="F74" s="157">
        <v>2</v>
      </c>
      <c r="G74" s="157"/>
      <c r="K74" s="544" t="s">
        <v>5</v>
      </c>
      <c r="L74" s="545">
        <v>12</v>
      </c>
      <c r="M74" s="616">
        <v>22</v>
      </c>
      <c r="N74" s="616">
        <v>45</v>
      </c>
      <c r="O74" s="616">
        <v>55</v>
      </c>
      <c r="P74" s="616">
        <v>55</v>
      </c>
      <c r="Q74" s="616">
        <v>55</v>
      </c>
      <c r="R74" s="616">
        <v>55</v>
      </c>
      <c r="S74" s="616">
        <v>55</v>
      </c>
      <c r="T74" s="616">
        <v>55</v>
      </c>
      <c r="U74" s="616">
        <v>55</v>
      </c>
      <c r="V74" s="616">
        <v>55</v>
      </c>
      <c r="W74" s="616">
        <v>55</v>
      </c>
      <c r="X74" s="616">
        <v>65</v>
      </c>
      <c r="Y74" s="546">
        <v>0</v>
      </c>
      <c r="AA74" s="618" t="s">
        <v>4</v>
      </c>
      <c r="AB74" s="596">
        <v>11</v>
      </c>
      <c r="AC74" s="620">
        <v>0</v>
      </c>
      <c r="AD74" s="620">
        <v>0</v>
      </c>
      <c r="AE74" s="620">
        <v>0.5161</v>
      </c>
      <c r="AF74" s="623">
        <v>1.5161</v>
      </c>
      <c r="AG74" s="623">
        <v>2.5160999999999998</v>
      </c>
      <c r="AH74" s="623">
        <v>3.5160999999999998</v>
      </c>
      <c r="AI74" s="623">
        <v>4.5160999999999998</v>
      </c>
      <c r="AJ74" s="623">
        <v>5.5160999999999998</v>
      </c>
      <c r="AK74" s="620">
        <v>6.5160999999999998</v>
      </c>
      <c r="AL74" s="620">
        <v>7.5160999999999998</v>
      </c>
      <c r="AM74" s="626">
        <v>0</v>
      </c>
      <c r="AN74" s="627">
        <v>0</v>
      </c>
    </row>
    <row r="75" spans="1:40" ht="15.75" thickBot="1" x14ac:dyDescent="0.3">
      <c r="A75" s="67">
        <v>38</v>
      </c>
      <c r="B75" s="40" t="s">
        <v>7</v>
      </c>
      <c r="C75">
        <v>2024</v>
      </c>
      <c r="E75" s="157">
        <v>37</v>
      </c>
      <c r="F75" s="157">
        <v>2</v>
      </c>
      <c r="G75" s="157"/>
      <c r="K75" s="10"/>
      <c r="AA75" s="619" t="s">
        <v>5</v>
      </c>
      <c r="AB75" s="597">
        <v>12</v>
      </c>
      <c r="AC75" s="629">
        <v>0</v>
      </c>
      <c r="AD75" s="629">
        <v>0</v>
      </c>
      <c r="AE75" s="629">
        <v>0.5161</v>
      </c>
      <c r="AF75" s="630">
        <v>1.5161</v>
      </c>
      <c r="AG75" s="630">
        <v>2.5160999999999998</v>
      </c>
      <c r="AH75" s="630">
        <v>3.5160999999999998</v>
      </c>
      <c r="AI75" s="630">
        <v>4.5160999999999998</v>
      </c>
      <c r="AJ75" s="630">
        <v>5.5160999999999998</v>
      </c>
      <c r="AK75" s="629">
        <v>6.5160999999999998</v>
      </c>
      <c r="AL75" s="629">
        <v>7.5160999999999998</v>
      </c>
      <c r="AM75" s="629">
        <v>8.5160999999999998</v>
      </c>
      <c r="AN75" s="628">
        <v>0</v>
      </c>
    </row>
    <row r="76" spans="1:40" ht="15.75" thickBot="1" x14ac:dyDescent="0.3">
      <c r="A76" s="67">
        <v>39</v>
      </c>
      <c r="B76" s="40" t="s">
        <v>8</v>
      </c>
      <c r="C76">
        <v>2024</v>
      </c>
      <c r="E76" s="157">
        <v>38</v>
      </c>
      <c r="F76" s="157">
        <v>2</v>
      </c>
      <c r="G76" s="157"/>
      <c r="K76" s="10"/>
    </row>
    <row r="77" spans="1:40" x14ac:dyDescent="0.25">
      <c r="A77" s="67">
        <v>40</v>
      </c>
      <c r="B77" s="40" t="s">
        <v>9</v>
      </c>
      <c r="C77">
        <v>2024</v>
      </c>
      <c r="E77" s="157">
        <v>39</v>
      </c>
      <c r="F77" s="157">
        <v>2</v>
      </c>
      <c r="G77" s="157"/>
      <c r="K77" s="488" t="s">
        <v>574</v>
      </c>
      <c r="L77" s="489"/>
      <c r="M77" s="489"/>
      <c r="N77" s="489"/>
      <c r="O77" s="489"/>
      <c r="P77" s="489"/>
      <c r="Q77" s="489"/>
      <c r="R77" s="489"/>
      <c r="S77" s="489"/>
      <c r="T77" s="489"/>
      <c r="U77" s="489"/>
      <c r="V77" s="489"/>
      <c r="W77" s="489"/>
      <c r="X77" s="490"/>
    </row>
    <row r="78" spans="1:40" ht="15.75" x14ac:dyDescent="0.25">
      <c r="A78" s="67">
        <v>41</v>
      </c>
      <c r="B78" s="40" t="s">
        <v>10</v>
      </c>
      <c r="C78">
        <v>2024</v>
      </c>
      <c r="E78" s="157">
        <v>40</v>
      </c>
      <c r="F78" s="157">
        <v>2</v>
      </c>
      <c r="G78" s="157"/>
      <c r="K78" s="487" t="s">
        <v>551</v>
      </c>
      <c r="L78" s="481"/>
      <c r="M78" s="481" t="s">
        <v>6</v>
      </c>
      <c r="N78" s="481" t="s">
        <v>7</v>
      </c>
      <c r="O78" s="481" t="s">
        <v>8</v>
      </c>
      <c r="P78" s="481" t="s">
        <v>9</v>
      </c>
      <c r="Q78" s="482" t="s">
        <v>10</v>
      </c>
      <c r="R78" s="481" t="s">
        <v>11</v>
      </c>
      <c r="S78" s="481" t="s">
        <v>0</v>
      </c>
      <c r="T78" s="481" t="s">
        <v>1</v>
      </c>
      <c r="U78" s="481" t="s">
        <v>2</v>
      </c>
      <c r="V78" s="481" t="s">
        <v>3</v>
      </c>
      <c r="W78" s="481" t="s">
        <v>4</v>
      </c>
      <c r="X78" s="483" t="s">
        <v>5</v>
      </c>
      <c r="Z78" s="26"/>
    </row>
    <row r="79" spans="1:40" x14ac:dyDescent="0.25">
      <c r="A79" s="67">
        <v>42</v>
      </c>
      <c r="B79" s="40" t="s">
        <v>11</v>
      </c>
      <c r="C79">
        <v>2024</v>
      </c>
      <c r="E79" s="157">
        <v>41</v>
      </c>
      <c r="F79" s="157">
        <v>2</v>
      </c>
      <c r="G79" s="157"/>
      <c r="K79" s="484" t="s">
        <v>550</v>
      </c>
      <c r="L79" s="26">
        <v>0</v>
      </c>
      <c r="M79" s="477">
        <v>1</v>
      </c>
      <c r="N79" s="477">
        <v>2</v>
      </c>
      <c r="O79" s="477">
        <v>3</v>
      </c>
      <c r="P79" s="477">
        <v>4</v>
      </c>
      <c r="Q79" s="477">
        <v>5</v>
      </c>
      <c r="R79" s="477">
        <v>6</v>
      </c>
      <c r="S79" s="477">
        <v>7</v>
      </c>
      <c r="T79" s="477">
        <v>8</v>
      </c>
      <c r="U79" s="477">
        <v>9</v>
      </c>
      <c r="V79" s="477">
        <v>10</v>
      </c>
      <c r="W79" s="477">
        <v>11</v>
      </c>
      <c r="X79" s="602">
        <v>12</v>
      </c>
    </row>
    <row r="80" spans="1:40" x14ac:dyDescent="0.25">
      <c r="A80" s="67">
        <v>43</v>
      </c>
      <c r="B80" s="40" t="s">
        <v>0</v>
      </c>
      <c r="C80">
        <v>2024</v>
      </c>
      <c r="E80" s="157">
        <v>42</v>
      </c>
      <c r="F80" s="157">
        <v>2</v>
      </c>
      <c r="G80" s="157"/>
      <c r="K80" s="485" t="s">
        <v>6</v>
      </c>
      <c r="L80" s="603">
        <v>1</v>
      </c>
      <c r="M80" s="26">
        <v>1</v>
      </c>
      <c r="N80" s="26">
        <v>1</v>
      </c>
      <c r="O80" s="26">
        <v>1</v>
      </c>
      <c r="P80" s="26">
        <v>1</v>
      </c>
      <c r="Q80" s="26">
        <v>1</v>
      </c>
      <c r="R80" s="26">
        <v>1</v>
      </c>
      <c r="S80" s="26">
        <v>1</v>
      </c>
      <c r="T80" s="26">
        <v>1</v>
      </c>
      <c r="U80" s="26">
        <v>1</v>
      </c>
      <c r="V80" s="26">
        <v>1</v>
      </c>
      <c r="W80" s="26">
        <v>1</v>
      </c>
      <c r="X80" s="494">
        <v>1</v>
      </c>
    </row>
    <row r="81" spans="1:24" x14ac:dyDescent="0.25">
      <c r="A81" s="67">
        <v>44</v>
      </c>
      <c r="B81" s="40" t="s">
        <v>1</v>
      </c>
      <c r="C81">
        <v>2024</v>
      </c>
      <c r="E81" s="157">
        <v>43</v>
      </c>
      <c r="F81" s="157">
        <v>2</v>
      </c>
      <c r="G81" s="157"/>
      <c r="K81" s="485" t="s">
        <v>7</v>
      </c>
      <c r="L81" s="603">
        <v>2</v>
      </c>
      <c r="M81" s="26">
        <v>0</v>
      </c>
      <c r="N81" s="26">
        <v>1</v>
      </c>
      <c r="O81" s="26">
        <v>1</v>
      </c>
      <c r="P81" s="26">
        <v>1</v>
      </c>
      <c r="Q81" s="26">
        <v>1</v>
      </c>
      <c r="R81" s="26">
        <v>1</v>
      </c>
      <c r="S81" s="26">
        <v>1</v>
      </c>
      <c r="T81" s="26">
        <v>1</v>
      </c>
      <c r="U81" s="26">
        <v>1</v>
      </c>
      <c r="V81" s="26">
        <v>1</v>
      </c>
      <c r="W81" s="26">
        <v>1</v>
      </c>
      <c r="X81" s="494">
        <v>1</v>
      </c>
    </row>
    <row r="82" spans="1:24" x14ac:dyDescent="0.25">
      <c r="A82" s="67">
        <v>45</v>
      </c>
      <c r="B82" s="40" t="s">
        <v>2</v>
      </c>
      <c r="C82">
        <v>2024</v>
      </c>
      <c r="E82" s="157">
        <v>44</v>
      </c>
      <c r="F82" s="157">
        <v>2</v>
      </c>
      <c r="G82" s="157"/>
      <c r="K82" s="485" t="s">
        <v>8</v>
      </c>
      <c r="L82" s="603">
        <v>3</v>
      </c>
      <c r="M82" s="26">
        <v>0</v>
      </c>
      <c r="N82" s="26">
        <v>0</v>
      </c>
      <c r="O82" s="26">
        <v>1</v>
      </c>
      <c r="P82" s="26">
        <v>1</v>
      </c>
      <c r="Q82" s="26">
        <v>1</v>
      </c>
      <c r="R82" s="26">
        <v>1</v>
      </c>
      <c r="S82" s="26">
        <v>1</v>
      </c>
      <c r="T82" s="26">
        <v>1</v>
      </c>
      <c r="U82" s="26">
        <v>1</v>
      </c>
      <c r="V82" s="26">
        <v>1</v>
      </c>
      <c r="W82" s="26">
        <v>1</v>
      </c>
      <c r="X82" s="494">
        <v>1</v>
      </c>
    </row>
    <row r="83" spans="1:24" x14ac:dyDescent="0.25">
      <c r="A83" s="67">
        <v>46</v>
      </c>
      <c r="B83" s="40" t="s">
        <v>3</v>
      </c>
      <c r="C83">
        <v>2024</v>
      </c>
      <c r="E83" s="157">
        <v>45</v>
      </c>
      <c r="F83" s="157">
        <v>2</v>
      </c>
      <c r="G83" s="157"/>
      <c r="K83" s="485" t="s">
        <v>9</v>
      </c>
      <c r="L83" s="603">
        <v>4</v>
      </c>
      <c r="M83" s="26">
        <v>0</v>
      </c>
      <c r="N83" s="26">
        <v>0</v>
      </c>
      <c r="O83" s="26">
        <v>0</v>
      </c>
      <c r="P83" s="26">
        <v>1</v>
      </c>
      <c r="Q83" s="26">
        <v>1</v>
      </c>
      <c r="R83" s="26">
        <v>1</v>
      </c>
      <c r="S83" s="26">
        <v>1</v>
      </c>
      <c r="T83" s="26">
        <v>1</v>
      </c>
      <c r="U83" s="26">
        <v>1</v>
      </c>
      <c r="V83" s="26">
        <v>1</v>
      </c>
      <c r="W83" s="26">
        <v>1</v>
      </c>
      <c r="X83" s="494">
        <v>1</v>
      </c>
    </row>
    <row r="84" spans="1:24" x14ac:dyDescent="0.25">
      <c r="A84" s="67">
        <v>47</v>
      </c>
      <c r="B84" s="40" t="s">
        <v>4</v>
      </c>
      <c r="C84">
        <v>2024</v>
      </c>
      <c r="E84" s="157">
        <v>46</v>
      </c>
      <c r="F84" s="157">
        <v>2</v>
      </c>
      <c r="G84" s="157"/>
      <c r="K84" s="485" t="s">
        <v>10</v>
      </c>
      <c r="L84" s="603">
        <v>5</v>
      </c>
      <c r="M84" s="26">
        <v>0</v>
      </c>
      <c r="N84" s="26">
        <v>0</v>
      </c>
      <c r="O84" s="26">
        <v>0</v>
      </c>
      <c r="P84" s="26">
        <v>0</v>
      </c>
      <c r="Q84" s="26">
        <v>1</v>
      </c>
      <c r="R84" s="26">
        <v>1</v>
      </c>
      <c r="S84" s="26">
        <v>1</v>
      </c>
      <c r="T84" s="26">
        <v>1</v>
      </c>
      <c r="U84" s="26">
        <v>1</v>
      </c>
      <c r="V84" s="26">
        <v>1</v>
      </c>
      <c r="W84" s="26">
        <v>1</v>
      </c>
      <c r="X84" s="494">
        <v>1</v>
      </c>
    </row>
    <row r="85" spans="1:24" x14ac:dyDescent="0.25">
      <c r="A85" s="67">
        <v>48</v>
      </c>
      <c r="B85" s="40" t="s">
        <v>5</v>
      </c>
      <c r="C85">
        <v>2024</v>
      </c>
      <c r="E85" s="157">
        <v>47</v>
      </c>
      <c r="F85" s="157">
        <v>2.5</v>
      </c>
      <c r="G85" s="157"/>
      <c r="K85" s="485" t="s">
        <v>11</v>
      </c>
      <c r="L85" s="603">
        <v>6</v>
      </c>
      <c r="M85" s="26">
        <v>0</v>
      </c>
      <c r="N85" s="26">
        <v>0</v>
      </c>
      <c r="O85" s="26">
        <v>0</v>
      </c>
      <c r="P85" s="26">
        <v>0</v>
      </c>
      <c r="Q85" s="26">
        <v>0</v>
      </c>
      <c r="R85" s="26">
        <v>1</v>
      </c>
      <c r="S85" s="26">
        <v>1</v>
      </c>
      <c r="T85" s="26">
        <v>1</v>
      </c>
      <c r="U85" s="26">
        <v>1</v>
      </c>
      <c r="V85" s="26">
        <v>1</v>
      </c>
      <c r="W85" s="26">
        <v>1</v>
      </c>
      <c r="X85" s="494">
        <v>1</v>
      </c>
    </row>
    <row r="86" spans="1:24" x14ac:dyDescent="0.25">
      <c r="A86" s="67">
        <v>49</v>
      </c>
      <c r="B86" s="40" t="s">
        <v>6</v>
      </c>
      <c r="C86">
        <v>2025</v>
      </c>
      <c r="E86" s="157">
        <v>48</v>
      </c>
      <c r="F86" s="157">
        <v>2.5</v>
      </c>
      <c r="G86" s="157"/>
      <c r="K86" s="485" t="s">
        <v>0</v>
      </c>
      <c r="L86" s="603">
        <v>7</v>
      </c>
      <c r="M86" s="26">
        <v>1</v>
      </c>
      <c r="N86" s="26">
        <v>1</v>
      </c>
      <c r="O86" s="26">
        <v>0</v>
      </c>
      <c r="P86" s="26">
        <v>0</v>
      </c>
      <c r="Q86" s="26">
        <v>0</v>
      </c>
      <c r="R86" s="26">
        <v>0</v>
      </c>
      <c r="S86" s="26">
        <v>1</v>
      </c>
      <c r="T86" s="26">
        <v>1</v>
      </c>
      <c r="U86" s="26">
        <v>1</v>
      </c>
      <c r="V86" s="26">
        <v>1</v>
      </c>
      <c r="W86" s="26">
        <v>1</v>
      </c>
      <c r="X86" s="494">
        <v>1</v>
      </c>
    </row>
    <row r="87" spans="1:24" x14ac:dyDescent="0.25">
      <c r="A87" s="67">
        <v>50</v>
      </c>
      <c r="B87" s="40" t="s">
        <v>7</v>
      </c>
      <c r="C87">
        <v>2025</v>
      </c>
      <c r="E87" s="157">
        <v>49</v>
      </c>
      <c r="F87" s="157">
        <v>2.5</v>
      </c>
      <c r="G87" s="157"/>
      <c r="K87" s="485" t="s">
        <v>1</v>
      </c>
      <c r="L87" s="603">
        <v>8</v>
      </c>
      <c r="M87" s="26">
        <v>1</v>
      </c>
      <c r="N87" s="26">
        <v>1</v>
      </c>
      <c r="O87" s="26">
        <v>0</v>
      </c>
      <c r="P87" s="26">
        <v>0</v>
      </c>
      <c r="Q87" s="26">
        <v>0</v>
      </c>
      <c r="R87" s="26">
        <v>0</v>
      </c>
      <c r="S87" s="26">
        <v>0</v>
      </c>
      <c r="T87" s="26">
        <v>1</v>
      </c>
      <c r="U87" s="26">
        <v>1</v>
      </c>
      <c r="V87" s="26">
        <v>1</v>
      </c>
      <c r="W87" s="26">
        <v>1</v>
      </c>
      <c r="X87" s="494">
        <v>1</v>
      </c>
    </row>
    <row r="88" spans="1:24" x14ac:dyDescent="0.25">
      <c r="A88" s="67">
        <v>51</v>
      </c>
      <c r="B88" s="40" t="s">
        <v>8</v>
      </c>
      <c r="C88">
        <v>2025</v>
      </c>
      <c r="E88" s="157">
        <v>50</v>
      </c>
      <c r="F88" s="157">
        <v>2.5</v>
      </c>
      <c r="G88" s="157"/>
      <c r="K88" s="485" t="s">
        <v>2</v>
      </c>
      <c r="L88" s="603">
        <v>9</v>
      </c>
      <c r="M88" s="26">
        <v>1</v>
      </c>
      <c r="N88" s="26">
        <v>1</v>
      </c>
      <c r="O88" s="26">
        <v>0</v>
      </c>
      <c r="P88" s="26">
        <v>0</v>
      </c>
      <c r="Q88" s="26">
        <v>0</v>
      </c>
      <c r="R88" s="26">
        <v>0</v>
      </c>
      <c r="S88" s="26">
        <v>0</v>
      </c>
      <c r="T88" s="26">
        <v>0</v>
      </c>
      <c r="U88" s="26">
        <v>1</v>
      </c>
      <c r="V88" s="26">
        <v>1</v>
      </c>
      <c r="W88" s="26">
        <v>1</v>
      </c>
      <c r="X88" s="494">
        <v>1</v>
      </c>
    </row>
    <row r="89" spans="1:24" x14ac:dyDescent="0.25">
      <c r="A89" s="67">
        <v>52</v>
      </c>
      <c r="B89" s="40" t="s">
        <v>9</v>
      </c>
      <c r="C89">
        <v>2025</v>
      </c>
      <c r="E89" s="157">
        <v>51</v>
      </c>
      <c r="F89" s="157">
        <v>2.5</v>
      </c>
      <c r="G89" s="157"/>
      <c r="K89" s="485" t="s">
        <v>3</v>
      </c>
      <c r="L89" s="603">
        <v>10</v>
      </c>
      <c r="M89" s="26">
        <v>1</v>
      </c>
      <c r="N89" s="26">
        <v>1</v>
      </c>
      <c r="O89" s="26">
        <v>0</v>
      </c>
      <c r="P89" s="26">
        <v>0</v>
      </c>
      <c r="Q89" s="26">
        <v>0</v>
      </c>
      <c r="R89" s="26">
        <v>0</v>
      </c>
      <c r="S89" s="26">
        <v>0</v>
      </c>
      <c r="T89" s="26">
        <v>0</v>
      </c>
      <c r="U89" s="26">
        <v>0</v>
      </c>
      <c r="V89" s="26">
        <v>1</v>
      </c>
      <c r="W89" s="26">
        <v>1</v>
      </c>
      <c r="X89" s="494">
        <v>1</v>
      </c>
    </row>
    <row r="90" spans="1:24" x14ac:dyDescent="0.25">
      <c r="A90" s="67">
        <v>53</v>
      </c>
      <c r="B90" s="40" t="s">
        <v>10</v>
      </c>
      <c r="C90">
        <v>2025</v>
      </c>
      <c r="E90" s="157">
        <v>52</v>
      </c>
      <c r="F90" s="157">
        <v>2.5</v>
      </c>
      <c r="G90" s="157"/>
      <c r="K90" s="485" t="s">
        <v>4</v>
      </c>
      <c r="L90" s="603">
        <v>11</v>
      </c>
      <c r="M90" s="26">
        <v>1</v>
      </c>
      <c r="N90" s="26">
        <v>1</v>
      </c>
      <c r="O90" s="26">
        <v>0</v>
      </c>
      <c r="P90" s="26">
        <v>0</v>
      </c>
      <c r="Q90" s="26">
        <v>0</v>
      </c>
      <c r="R90" s="26">
        <v>0</v>
      </c>
      <c r="S90" s="26">
        <v>0</v>
      </c>
      <c r="T90" s="26">
        <v>0</v>
      </c>
      <c r="U90" s="26">
        <v>0</v>
      </c>
      <c r="V90" s="26">
        <v>0</v>
      </c>
      <c r="W90" s="26">
        <v>1</v>
      </c>
      <c r="X90" s="494">
        <v>1</v>
      </c>
    </row>
    <row r="91" spans="1:24" ht="15.75" thickBot="1" x14ac:dyDescent="0.3">
      <c r="A91" s="67">
        <v>54</v>
      </c>
      <c r="B91" s="40" t="s">
        <v>11</v>
      </c>
      <c r="C91">
        <v>2025</v>
      </c>
      <c r="E91" s="157">
        <v>53</v>
      </c>
      <c r="F91" s="157">
        <v>2.5</v>
      </c>
      <c r="G91" s="157"/>
      <c r="K91" s="486" t="s">
        <v>5</v>
      </c>
      <c r="L91" s="604">
        <v>12</v>
      </c>
      <c r="M91" s="591">
        <v>1</v>
      </c>
      <c r="N91" s="591">
        <v>1</v>
      </c>
      <c r="O91" s="591">
        <v>1</v>
      </c>
      <c r="P91" s="591">
        <v>1</v>
      </c>
      <c r="Q91" s="591">
        <v>1</v>
      </c>
      <c r="R91" s="591">
        <v>1</v>
      </c>
      <c r="S91" s="591">
        <v>1</v>
      </c>
      <c r="T91" s="591">
        <v>1</v>
      </c>
      <c r="U91" s="591">
        <v>1</v>
      </c>
      <c r="V91" s="591">
        <v>1</v>
      </c>
      <c r="W91" s="591">
        <v>1</v>
      </c>
      <c r="X91" s="592">
        <v>1</v>
      </c>
    </row>
    <row r="92" spans="1:24" x14ac:dyDescent="0.25">
      <c r="A92" s="67">
        <v>55</v>
      </c>
      <c r="B92" s="40" t="s">
        <v>0</v>
      </c>
      <c r="C92">
        <v>2025</v>
      </c>
      <c r="E92" s="157">
        <v>54</v>
      </c>
      <c r="F92" s="157">
        <v>2.5</v>
      </c>
      <c r="G92" s="157"/>
    </row>
    <row r="93" spans="1:24" x14ac:dyDescent="0.25">
      <c r="A93" s="67">
        <v>56</v>
      </c>
      <c r="B93" s="40" t="s">
        <v>1</v>
      </c>
      <c r="C93">
        <v>2025</v>
      </c>
      <c r="E93" s="157">
        <v>55</v>
      </c>
      <c r="F93" s="157">
        <v>2.5</v>
      </c>
      <c r="G93" s="157"/>
      <c r="K93" s="498"/>
      <c r="L93" s="29"/>
      <c r="M93" s="29"/>
      <c r="N93" s="29"/>
      <c r="O93" s="29"/>
      <c r="P93" s="29"/>
      <c r="Q93" s="29"/>
      <c r="R93" s="29"/>
      <c r="S93" s="29"/>
      <c r="T93" s="29"/>
      <c r="U93" s="29"/>
      <c r="V93" s="29"/>
      <c r="W93" s="29"/>
      <c r="X93" s="29"/>
    </row>
    <row r="94" spans="1:24" ht="15.75" x14ac:dyDescent="0.25">
      <c r="A94" s="67">
        <v>57</v>
      </c>
      <c r="B94" s="40" t="s">
        <v>2</v>
      </c>
      <c r="C94">
        <v>2025</v>
      </c>
      <c r="E94" s="157">
        <v>56</v>
      </c>
      <c r="F94" s="157">
        <v>3</v>
      </c>
      <c r="G94" s="157"/>
      <c r="K94" s="26"/>
      <c r="L94" s="26"/>
      <c r="M94" s="26"/>
      <c r="N94" s="26"/>
      <c r="O94" s="26"/>
      <c r="P94" s="26"/>
      <c r="Q94" s="497"/>
      <c r="R94" s="26"/>
      <c r="S94" s="26"/>
      <c r="T94" s="26"/>
      <c r="U94" s="26"/>
      <c r="V94" s="26"/>
      <c r="W94" s="26"/>
      <c r="X94" s="26"/>
    </row>
    <row r="95" spans="1:24" x14ac:dyDescent="0.25">
      <c r="A95" s="67">
        <v>58</v>
      </c>
      <c r="B95" s="40" t="s">
        <v>3</v>
      </c>
      <c r="C95">
        <v>2025</v>
      </c>
      <c r="E95" s="157">
        <v>57</v>
      </c>
      <c r="F95" s="157">
        <v>3</v>
      </c>
      <c r="G95" s="157"/>
      <c r="K95" s="499"/>
      <c r="L95" s="26"/>
      <c r="M95" s="26"/>
      <c r="N95" s="26"/>
      <c r="O95" s="26"/>
      <c r="P95" s="26"/>
      <c r="Q95" s="26"/>
      <c r="R95" s="26"/>
      <c r="S95" s="26"/>
      <c r="T95" s="26"/>
      <c r="U95" s="26"/>
      <c r="V95" s="26"/>
      <c r="W95" s="26"/>
      <c r="X95" s="26"/>
    </row>
    <row r="96" spans="1:24" x14ac:dyDescent="0.25">
      <c r="A96" s="67">
        <v>59</v>
      </c>
      <c r="B96" s="40" t="s">
        <v>4</v>
      </c>
      <c r="C96">
        <v>2025</v>
      </c>
      <c r="E96" s="157">
        <v>58</v>
      </c>
      <c r="F96" s="157">
        <v>3</v>
      </c>
      <c r="G96" s="157"/>
      <c r="K96" s="500"/>
      <c r="L96" s="26"/>
      <c r="M96" s="26"/>
      <c r="N96" s="26"/>
      <c r="O96" s="26"/>
      <c r="P96" s="26"/>
      <c r="Q96" s="26"/>
      <c r="R96" s="26"/>
      <c r="S96" s="26"/>
      <c r="T96" s="26"/>
      <c r="U96" s="26"/>
      <c r="V96" s="26"/>
      <c r="W96" s="26"/>
      <c r="X96" s="26"/>
    </row>
    <row r="97" spans="1:24" x14ac:dyDescent="0.25">
      <c r="A97" s="67">
        <v>60</v>
      </c>
      <c r="B97" s="40" t="s">
        <v>5</v>
      </c>
      <c r="C97">
        <v>2025</v>
      </c>
      <c r="E97" s="157">
        <v>59</v>
      </c>
      <c r="F97" s="157">
        <v>3</v>
      </c>
      <c r="G97" s="157"/>
      <c r="K97" s="500"/>
      <c r="L97" s="26"/>
      <c r="M97" s="26"/>
      <c r="N97" s="26"/>
      <c r="O97" s="26"/>
      <c r="P97" s="26"/>
      <c r="Q97" s="26"/>
      <c r="R97" s="26"/>
      <c r="S97" s="26"/>
      <c r="T97" s="26"/>
      <c r="U97" s="26"/>
      <c r="V97" s="26"/>
      <c r="W97" s="26"/>
      <c r="X97" s="26"/>
    </row>
    <row r="98" spans="1:24" x14ac:dyDescent="0.25">
      <c r="A98" s="67">
        <v>61</v>
      </c>
      <c r="B98" s="40" t="s">
        <v>6</v>
      </c>
      <c r="C98">
        <v>2026</v>
      </c>
      <c r="E98" s="157">
        <v>60</v>
      </c>
      <c r="F98" s="157">
        <v>3</v>
      </c>
      <c r="G98" s="157"/>
      <c r="K98" s="500"/>
      <c r="L98" s="26"/>
      <c r="M98" s="26"/>
      <c r="N98" s="26"/>
      <c r="O98" s="26"/>
      <c r="P98" s="26"/>
      <c r="Q98" s="26"/>
      <c r="R98" s="26"/>
      <c r="S98" s="26"/>
      <c r="T98" s="26"/>
      <c r="U98" s="26"/>
      <c r="V98" s="26"/>
      <c r="W98" s="26"/>
      <c r="X98" s="26"/>
    </row>
    <row r="99" spans="1:24" x14ac:dyDescent="0.25">
      <c r="A99" s="67">
        <v>62</v>
      </c>
      <c r="B99" s="40" t="s">
        <v>7</v>
      </c>
      <c r="C99">
        <v>2026</v>
      </c>
      <c r="E99" s="157">
        <v>61</v>
      </c>
      <c r="F99" s="157">
        <v>3</v>
      </c>
      <c r="G99" s="157"/>
      <c r="K99" s="500"/>
      <c r="L99" s="26"/>
      <c r="M99" s="26"/>
      <c r="N99" s="26"/>
      <c r="O99" s="26"/>
      <c r="P99" s="26"/>
      <c r="Q99" s="26"/>
      <c r="R99" s="26"/>
      <c r="S99" s="26"/>
      <c r="T99" s="26"/>
      <c r="U99" s="26"/>
      <c r="V99" s="26"/>
      <c r="W99" s="26"/>
      <c r="X99" s="26"/>
    </row>
    <row r="100" spans="1:24" x14ac:dyDescent="0.25">
      <c r="A100" s="67">
        <v>63</v>
      </c>
      <c r="B100" s="40" t="s">
        <v>8</v>
      </c>
      <c r="C100">
        <v>2026</v>
      </c>
      <c r="E100" s="157">
        <v>62</v>
      </c>
      <c r="F100" s="157">
        <v>3</v>
      </c>
      <c r="G100" s="157"/>
      <c r="K100" s="500"/>
      <c r="L100" s="26"/>
      <c r="M100" s="26"/>
      <c r="N100" s="26"/>
      <c r="O100" s="26"/>
      <c r="P100" s="26"/>
      <c r="Q100" s="26"/>
      <c r="R100" s="26"/>
      <c r="S100" s="26"/>
      <c r="T100" s="26"/>
      <c r="U100" s="26"/>
      <c r="V100" s="26"/>
      <c r="W100" s="26"/>
      <c r="X100" s="26"/>
    </row>
    <row r="101" spans="1:24" x14ac:dyDescent="0.25">
      <c r="A101" s="67">
        <v>64</v>
      </c>
      <c r="B101" s="40" t="s">
        <v>9</v>
      </c>
      <c r="C101">
        <v>2026</v>
      </c>
      <c r="E101" s="157">
        <v>63</v>
      </c>
      <c r="F101" s="157">
        <v>3</v>
      </c>
      <c r="G101" s="157"/>
      <c r="K101" s="500"/>
      <c r="L101" s="26"/>
      <c r="M101" s="26"/>
      <c r="N101" s="26"/>
      <c r="O101" s="26"/>
      <c r="P101" s="26"/>
      <c r="Q101" s="26"/>
      <c r="R101" s="26"/>
      <c r="S101" s="26"/>
      <c r="T101" s="26"/>
      <c r="U101" s="26"/>
      <c r="V101" s="26"/>
      <c r="W101" s="26"/>
      <c r="X101" s="26"/>
    </row>
    <row r="102" spans="1:24" x14ac:dyDescent="0.25">
      <c r="A102" s="67">
        <v>65</v>
      </c>
      <c r="B102" s="40" t="s">
        <v>10</v>
      </c>
      <c r="C102">
        <v>2026</v>
      </c>
      <c r="E102" s="157">
        <v>64</v>
      </c>
      <c r="F102" s="157">
        <v>3</v>
      </c>
      <c r="G102" s="157"/>
      <c r="K102" s="500"/>
      <c r="L102" s="26"/>
      <c r="M102" s="26"/>
      <c r="N102" s="26"/>
      <c r="O102" s="26"/>
      <c r="P102" s="26"/>
      <c r="Q102" s="26"/>
      <c r="R102" s="26"/>
      <c r="S102" s="26"/>
      <c r="T102" s="26"/>
      <c r="U102" s="26"/>
      <c r="V102" s="26"/>
      <c r="W102" s="26"/>
      <c r="X102" s="26"/>
    </row>
    <row r="103" spans="1:24" x14ac:dyDescent="0.25">
      <c r="A103" s="67">
        <v>66</v>
      </c>
      <c r="B103" s="40" t="s">
        <v>11</v>
      </c>
      <c r="C103">
        <v>2026</v>
      </c>
      <c r="E103" s="157">
        <v>65</v>
      </c>
      <c r="F103" s="157">
        <v>3</v>
      </c>
      <c r="G103" s="157"/>
      <c r="K103" s="500"/>
      <c r="L103" s="26"/>
      <c r="M103" s="26"/>
      <c r="N103" s="26"/>
      <c r="O103" s="26"/>
      <c r="P103" s="26"/>
      <c r="Q103" s="26"/>
      <c r="R103" s="26"/>
      <c r="S103" s="26"/>
      <c r="T103" s="26"/>
      <c r="U103" s="26"/>
      <c r="V103" s="26"/>
      <c r="W103" s="26"/>
      <c r="X103" s="26"/>
    </row>
    <row r="104" spans="1:24" x14ac:dyDescent="0.25">
      <c r="A104" s="67">
        <v>67</v>
      </c>
      <c r="B104" s="40" t="s">
        <v>0</v>
      </c>
      <c r="C104">
        <v>2026</v>
      </c>
      <c r="K104" s="500"/>
      <c r="L104" s="26"/>
      <c r="M104" s="26"/>
      <c r="N104" s="26"/>
      <c r="O104" s="26"/>
      <c r="P104" s="26"/>
      <c r="Q104" s="26"/>
      <c r="R104" s="26"/>
      <c r="S104" s="26"/>
      <c r="T104" s="26"/>
      <c r="U104" s="26"/>
      <c r="V104" s="26"/>
      <c r="W104" s="26"/>
      <c r="X104" s="26"/>
    </row>
    <row r="105" spans="1:24" x14ac:dyDescent="0.25">
      <c r="A105" s="67">
        <v>68</v>
      </c>
      <c r="B105" s="40" t="s">
        <v>1</v>
      </c>
      <c r="C105">
        <v>2026</v>
      </c>
      <c r="K105" s="500"/>
      <c r="L105" s="26"/>
      <c r="M105" s="26"/>
      <c r="N105" s="26"/>
      <c r="O105" s="26"/>
      <c r="P105" s="26"/>
      <c r="Q105" s="26"/>
      <c r="R105" s="26"/>
      <c r="S105" s="26"/>
      <c r="T105" s="26"/>
      <c r="U105" s="26"/>
      <c r="V105" s="26"/>
      <c r="W105" s="26"/>
      <c r="X105" s="26"/>
    </row>
    <row r="106" spans="1:24" x14ac:dyDescent="0.25">
      <c r="A106" s="67">
        <v>69</v>
      </c>
      <c r="B106" s="40" t="s">
        <v>2</v>
      </c>
      <c r="C106">
        <v>2026</v>
      </c>
      <c r="E106" t="s">
        <v>603</v>
      </c>
      <c r="K106" s="500"/>
      <c r="L106" s="26"/>
      <c r="M106" s="26"/>
      <c r="N106" s="26"/>
      <c r="O106" s="26"/>
      <c r="P106" s="26"/>
      <c r="Q106" s="26"/>
      <c r="R106" s="26"/>
      <c r="S106" s="26"/>
      <c r="T106" s="26"/>
      <c r="U106" s="26"/>
      <c r="V106" s="26"/>
      <c r="W106" s="26"/>
      <c r="X106" s="26"/>
    </row>
    <row r="107" spans="1:24" x14ac:dyDescent="0.25">
      <c r="A107" s="67">
        <v>70</v>
      </c>
      <c r="B107" s="40" t="s">
        <v>3</v>
      </c>
      <c r="C107">
        <v>2026</v>
      </c>
      <c r="F107" s="699">
        <v>2021</v>
      </c>
      <c r="G107" s="699">
        <v>2022</v>
      </c>
      <c r="H107" s="699">
        <v>2023</v>
      </c>
      <c r="I107" s="699">
        <v>2024</v>
      </c>
      <c r="J107" s="699">
        <v>2025</v>
      </c>
      <c r="K107" s="700">
        <v>2026</v>
      </c>
      <c r="L107" s="699">
        <v>2027</v>
      </c>
      <c r="M107" s="699">
        <v>2028</v>
      </c>
      <c r="N107" s="699">
        <v>2029</v>
      </c>
      <c r="O107" s="699">
        <v>2030</v>
      </c>
      <c r="P107" s="26"/>
      <c r="Q107" s="26"/>
      <c r="R107" s="26"/>
      <c r="S107" s="26"/>
      <c r="T107" s="26"/>
      <c r="U107" s="26"/>
      <c r="V107" s="26"/>
      <c r="W107" s="26"/>
      <c r="X107" s="26"/>
    </row>
    <row r="108" spans="1:24" x14ac:dyDescent="0.25">
      <c r="A108" s="67">
        <v>71</v>
      </c>
      <c r="B108" s="40" t="s">
        <v>4</v>
      </c>
      <c r="C108">
        <v>2026</v>
      </c>
      <c r="E108" s="40" t="s">
        <v>0</v>
      </c>
      <c r="F108">
        <v>1</v>
      </c>
      <c r="G108">
        <v>13</v>
      </c>
      <c r="H108">
        <v>25</v>
      </c>
      <c r="I108">
        <v>37</v>
      </c>
      <c r="J108">
        <v>49</v>
      </c>
      <c r="K108">
        <v>61</v>
      </c>
      <c r="L108">
        <v>73</v>
      </c>
      <c r="M108">
        <v>85</v>
      </c>
      <c r="N108">
        <v>97</v>
      </c>
      <c r="O108">
        <v>109</v>
      </c>
    </row>
    <row r="109" spans="1:24" x14ac:dyDescent="0.25">
      <c r="A109" s="67">
        <v>72</v>
      </c>
      <c r="B109" s="40" t="s">
        <v>5</v>
      </c>
      <c r="C109">
        <v>2026</v>
      </c>
      <c r="E109" s="40" t="s">
        <v>1</v>
      </c>
      <c r="F109">
        <v>2</v>
      </c>
      <c r="G109">
        <v>14</v>
      </c>
      <c r="H109">
        <v>26</v>
      </c>
      <c r="I109">
        <v>38</v>
      </c>
      <c r="J109">
        <v>50</v>
      </c>
      <c r="K109">
        <v>62</v>
      </c>
      <c r="L109">
        <v>74</v>
      </c>
      <c r="M109">
        <v>86</v>
      </c>
      <c r="N109">
        <v>98</v>
      </c>
      <c r="O109">
        <v>110</v>
      </c>
    </row>
    <row r="110" spans="1:24" x14ac:dyDescent="0.25">
      <c r="A110" s="67">
        <v>73</v>
      </c>
      <c r="B110" s="40" t="s">
        <v>6</v>
      </c>
      <c r="C110">
        <v>2027</v>
      </c>
      <c r="E110" s="40" t="s">
        <v>2</v>
      </c>
      <c r="F110">
        <v>3</v>
      </c>
      <c r="G110">
        <v>15</v>
      </c>
      <c r="H110">
        <v>27</v>
      </c>
      <c r="I110">
        <v>39</v>
      </c>
      <c r="J110">
        <v>51</v>
      </c>
      <c r="K110">
        <v>63</v>
      </c>
      <c r="L110">
        <v>75</v>
      </c>
      <c r="M110">
        <v>87</v>
      </c>
      <c r="N110">
        <v>99</v>
      </c>
      <c r="O110">
        <v>111</v>
      </c>
    </row>
    <row r="111" spans="1:24" x14ac:dyDescent="0.25">
      <c r="A111" s="67">
        <v>74</v>
      </c>
      <c r="B111" s="40" t="s">
        <v>7</v>
      </c>
      <c r="C111">
        <v>2027</v>
      </c>
      <c r="E111" s="40" t="s">
        <v>3</v>
      </c>
      <c r="F111">
        <v>4</v>
      </c>
      <c r="G111">
        <v>16</v>
      </c>
      <c r="H111">
        <v>28</v>
      </c>
      <c r="I111">
        <v>40</v>
      </c>
      <c r="J111">
        <v>52</v>
      </c>
      <c r="K111">
        <v>64</v>
      </c>
      <c r="L111">
        <v>76</v>
      </c>
      <c r="M111">
        <v>88</v>
      </c>
      <c r="N111">
        <v>100</v>
      </c>
      <c r="O111">
        <v>112</v>
      </c>
    </row>
    <row r="112" spans="1:24" x14ac:dyDescent="0.25">
      <c r="A112" s="67">
        <v>75</v>
      </c>
      <c r="B112" s="40" t="s">
        <v>8</v>
      </c>
      <c r="C112">
        <v>2027</v>
      </c>
      <c r="E112" s="40" t="s">
        <v>4</v>
      </c>
      <c r="F112">
        <v>5</v>
      </c>
      <c r="G112">
        <v>17</v>
      </c>
      <c r="H112">
        <v>29</v>
      </c>
      <c r="I112">
        <v>41</v>
      </c>
      <c r="J112">
        <v>53</v>
      </c>
      <c r="K112">
        <v>65</v>
      </c>
      <c r="L112">
        <v>77</v>
      </c>
      <c r="M112">
        <v>89</v>
      </c>
      <c r="N112">
        <v>101</v>
      </c>
      <c r="O112">
        <v>113</v>
      </c>
    </row>
    <row r="113" spans="1:15" x14ac:dyDescent="0.25">
      <c r="A113" s="67">
        <v>76</v>
      </c>
      <c r="B113" s="40" t="s">
        <v>9</v>
      </c>
      <c r="C113">
        <v>2027</v>
      </c>
      <c r="E113" s="40" t="s">
        <v>5</v>
      </c>
      <c r="F113">
        <v>6</v>
      </c>
      <c r="G113">
        <v>18</v>
      </c>
      <c r="H113">
        <v>30</v>
      </c>
      <c r="I113">
        <v>42</v>
      </c>
      <c r="J113">
        <v>54</v>
      </c>
      <c r="K113">
        <v>66</v>
      </c>
      <c r="L113">
        <v>78</v>
      </c>
      <c r="M113">
        <v>90</v>
      </c>
      <c r="N113">
        <v>102</v>
      </c>
      <c r="O113">
        <v>114</v>
      </c>
    </row>
    <row r="114" spans="1:15" x14ac:dyDescent="0.25">
      <c r="A114" s="67">
        <v>77</v>
      </c>
      <c r="B114" s="40" t="s">
        <v>10</v>
      </c>
      <c r="C114">
        <v>2027</v>
      </c>
      <c r="E114" s="40" t="s">
        <v>6</v>
      </c>
      <c r="F114">
        <v>7</v>
      </c>
      <c r="G114">
        <v>19</v>
      </c>
      <c r="H114">
        <v>31</v>
      </c>
      <c r="I114">
        <v>43</v>
      </c>
      <c r="J114">
        <v>55</v>
      </c>
      <c r="K114">
        <v>67</v>
      </c>
      <c r="L114">
        <v>79</v>
      </c>
      <c r="M114">
        <v>91</v>
      </c>
      <c r="N114">
        <v>103</v>
      </c>
      <c r="O114">
        <v>115</v>
      </c>
    </row>
    <row r="115" spans="1:15" x14ac:dyDescent="0.25">
      <c r="A115" s="67">
        <v>78</v>
      </c>
      <c r="B115" s="40" t="s">
        <v>11</v>
      </c>
      <c r="C115">
        <v>2027</v>
      </c>
      <c r="E115" s="40" t="s">
        <v>7</v>
      </c>
      <c r="F115">
        <v>8</v>
      </c>
      <c r="G115">
        <v>20</v>
      </c>
      <c r="H115">
        <v>32</v>
      </c>
      <c r="I115">
        <v>44</v>
      </c>
      <c r="J115">
        <v>56</v>
      </c>
      <c r="K115">
        <v>68</v>
      </c>
      <c r="L115">
        <v>80</v>
      </c>
      <c r="M115">
        <v>92</v>
      </c>
      <c r="N115">
        <v>104</v>
      </c>
      <c r="O115">
        <v>116</v>
      </c>
    </row>
    <row r="116" spans="1:15" x14ac:dyDescent="0.25">
      <c r="A116" s="67">
        <v>79</v>
      </c>
      <c r="B116" s="40" t="s">
        <v>0</v>
      </c>
      <c r="C116">
        <v>2027</v>
      </c>
      <c r="E116" s="40" t="s">
        <v>8</v>
      </c>
      <c r="F116">
        <v>9</v>
      </c>
      <c r="G116">
        <v>21</v>
      </c>
      <c r="H116">
        <v>33</v>
      </c>
      <c r="I116">
        <v>45</v>
      </c>
      <c r="J116">
        <v>57</v>
      </c>
      <c r="K116">
        <v>69</v>
      </c>
      <c r="L116">
        <v>81</v>
      </c>
      <c r="M116">
        <v>93</v>
      </c>
      <c r="N116">
        <v>105</v>
      </c>
      <c r="O116">
        <v>117</v>
      </c>
    </row>
    <row r="117" spans="1:15" x14ac:dyDescent="0.25">
      <c r="A117" s="67">
        <v>80</v>
      </c>
      <c r="B117" s="40" t="s">
        <v>1</v>
      </c>
      <c r="C117">
        <v>2027</v>
      </c>
      <c r="E117" s="40" t="s">
        <v>9</v>
      </c>
      <c r="F117">
        <v>10</v>
      </c>
      <c r="G117">
        <v>22</v>
      </c>
      <c r="H117">
        <v>34</v>
      </c>
      <c r="I117">
        <v>46</v>
      </c>
      <c r="J117">
        <v>58</v>
      </c>
      <c r="K117">
        <v>70</v>
      </c>
      <c r="L117">
        <v>82</v>
      </c>
      <c r="M117">
        <v>94</v>
      </c>
      <c r="N117">
        <v>106</v>
      </c>
      <c r="O117">
        <v>118</v>
      </c>
    </row>
    <row r="118" spans="1:15" x14ac:dyDescent="0.25">
      <c r="A118" s="67">
        <v>81</v>
      </c>
      <c r="B118" s="40" t="s">
        <v>2</v>
      </c>
      <c r="C118">
        <v>2027</v>
      </c>
      <c r="E118" s="40" t="s">
        <v>10</v>
      </c>
      <c r="F118">
        <v>11</v>
      </c>
      <c r="G118">
        <v>23</v>
      </c>
      <c r="H118">
        <v>35</v>
      </c>
      <c r="I118">
        <v>47</v>
      </c>
      <c r="J118">
        <v>59</v>
      </c>
      <c r="K118">
        <v>71</v>
      </c>
      <c r="L118">
        <v>83</v>
      </c>
      <c r="M118">
        <v>95</v>
      </c>
      <c r="N118">
        <v>107</v>
      </c>
      <c r="O118">
        <v>119</v>
      </c>
    </row>
    <row r="119" spans="1:15" x14ac:dyDescent="0.25">
      <c r="A119" s="67">
        <v>82</v>
      </c>
      <c r="B119" s="40" t="s">
        <v>3</v>
      </c>
      <c r="C119">
        <v>2027</v>
      </c>
      <c r="E119" s="41" t="s">
        <v>11</v>
      </c>
      <c r="F119">
        <v>12</v>
      </c>
      <c r="G119">
        <v>24</v>
      </c>
      <c r="H119">
        <v>36</v>
      </c>
      <c r="I119">
        <v>48</v>
      </c>
      <c r="J119">
        <v>60</v>
      </c>
      <c r="K119">
        <v>72</v>
      </c>
      <c r="L119">
        <v>84</v>
      </c>
      <c r="M119">
        <v>96</v>
      </c>
      <c r="N119">
        <v>108</v>
      </c>
      <c r="O119">
        <v>120</v>
      </c>
    </row>
    <row r="120" spans="1:15" x14ac:dyDescent="0.25">
      <c r="A120" s="67">
        <v>83</v>
      </c>
      <c r="B120" s="40" t="s">
        <v>4</v>
      </c>
      <c r="C120">
        <v>2027</v>
      </c>
    </row>
    <row r="121" spans="1:15" x14ac:dyDescent="0.25">
      <c r="A121" s="67">
        <v>84</v>
      </c>
      <c r="B121" s="40" t="s">
        <v>5</v>
      </c>
      <c r="C121">
        <v>2027</v>
      </c>
    </row>
    <row r="122" spans="1:15" x14ac:dyDescent="0.25">
      <c r="A122" s="67">
        <v>85</v>
      </c>
      <c r="B122" s="40" t="s">
        <v>6</v>
      </c>
      <c r="C122">
        <v>2028</v>
      </c>
    </row>
    <row r="123" spans="1:15" x14ac:dyDescent="0.25">
      <c r="A123" s="67">
        <v>86</v>
      </c>
      <c r="B123" s="40" t="s">
        <v>7</v>
      </c>
      <c r="C123">
        <v>2028</v>
      </c>
    </row>
    <row r="124" spans="1:15" x14ac:dyDescent="0.25">
      <c r="A124" s="67">
        <v>87</v>
      </c>
      <c r="B124" s="40" t="s">
        <v>8</v>
      </c>
      <c r="C124">
        <v>2028</v>
      </c>
    </row>
    <row r="125" spans="1:15" x14ac:dyDescent="0.25">
      <c r="A125" s="67">
        <v>88</v>
      </c>
      <c r="B125" s="40" t="s">
        <v>9</v>
      </c>
      <c r="C125">
        <v>2028</v>
      </c>
    </row>
    <row r="126" spans="1:15" x14ac:dyDescent="0.25">
      <c r="A126" s="67">
        <v>89</v>
      </c>
      <c r="B126" s="40" t="s">
        <v>10</v>
      </c>
      <c r="C126">
        <v>2028</v>
      </c>
    </row>
    <row r="127" spans="1:15" x14ac:dyDescent="0.25">
      <c r="A127" s="67">
        <v>90</v>
      </c>
      <c r="B127" s="40" t="s">
        <v>11</v>
      </c>
      <c r="C127">
        <v>2028</v>
      </c>
    </row>
    <row r="128" spans="1:15" x14ac:dyDescent="0.25">
      <c r="A128" s="67">
        <v>91</v>
      </c>
      <c r="B128" s="40" t="s">
        <v>0</v>
      </c>
      <c r="C128">
        <v>2028</v>
      </c>
    </row>
    <row r="129" spans="1:3" x14ac:dyDescent="0.25">
      <c r="A129" s="67">
        <v>92</v>
      </c>
      <c r="B129" s="40" t="s">
        <v>1</v>
      </c>
      <c r="C129">
        <v>2028</v>
      </c>
    </row>
    <row r="130" spans="1:3" x14ac:dyDescent="0.25">
      <c r="A130" s="67">
        <v>93</v>
      </c>
      <c r="B130" s="40" t="s">
        <v>2</v>
      </c>
      <c r="C130">
        <v>2028</v>
      </c>
    </row>
    <row r="131" spans="1:3" x14ac:dyDescent="0.25">
      <c r="A131" s="67">
        <v>94</v>
      </c>
      <c r="B131" s="40" t="s">
        <v>3</v>
      </c>
      <c r="C131">
        <v>2028</v>
      </c>
    </row>
    <row r="132" spans="1:3" x14ac:dyDescent="0.25">
      <c r="A132" s="67">
        <v>95</v>
      </c>
      <c r="B132" s="40" t="s">
        <v>4</v>
      </c>
      <c r="C132">
        <v>2028</v>
      </c>
    </row>
    <row r="133" spans="1:3" x14ac:dyDescent="0.25">
      <c r="A133" s="67">
        <v>96</v>
      </c>
      <c r="B133" s="40" t="s">
        <v>5</v>
      </c>
      <c r="C133">
        <v>2028</v>
      </c>
    </row>
    <row r="134" spans="1:3" x14ac:dyDescent="0.25">
      <c r="A134" s="67">
        <v>97</v>
      </c>
      <c r="B134" s="40" t="s">
        <v>6</v>
      </c>
      <c r="C134">
        <v>2029</v>
      </c>
    </row>
    <row r="135" spans="1:3" x14ac:dyDescent="0.25">
      <c r="A135" s="67">
        <v>98</v>
      </c>
      <c r="B135" s="40" t="s">
        <v>7</v>
      </c>
      <c r="C135">
        <v>2029</v>
      </c>
    </row>
    <row r="136" spans="1:3" x14ac:dyDescent="0.25">
      <c r="A136" s="67">
        <v>99</v>
      </c>
      <c r="B136" s="40" t="s">
        <v>8</v>
      </c>
      <c r="C136">
        <v>2029</v>
      </c>
    </row>
    <row r="137" spans="1:3" x14ac:dyDescent="0.25">
      <c r="A137" s="67">
        <v>100</v>
      </c>
      <c r="B137" s="40" t="s">
        <v>9</v>
      </c>
      <c r="C137">
        <v>2029</v>
      </c>
    </row>
    <row r="138" spans="1:3" x14ac:dyDescent="0.25">
      <c r="A138" s="67">
        <v>101</v>
      </c>
      <c r="B138" s="40" t="s">
        <v>10</v>
      </c>
      <c r="C138">
        <v>2029</v>
      </c>
    </row>
    <row r="139" spans="1:3" x14ac:dyDescent="0.25">
      <c r="A139" s="67">
        <v>102</v>
      </c>
      <c r="B139" s="40" t="s">
        <v>11</v>
      </c>
      <c r="C139">
        <v>2029</v>
      </c>
    </row>
    <row r="140" spans="1:3" x14ac:dyDescent="0.25">
      <c r="A140" s="67">
        <v>103</v>
      </c>
      <c r="B140" s="40" t="s">
        <v>0</v>
      </c>
      <c r="C140">
        <v>2029</v>
      </c>
    </row>
    <row r="141" spans="1:3" x14ac:dyDescent="0.25">
      <c r="A141" s="67">
        <v>104</v>
      </c>
      <c r="B141" s="40" t="s">
        <v>1</v>
      </c>
      <c r="C141">
        <v>2029</v>
      </c>
    </row>
    <row r="142" spans="1:3" x14ac:dyDescent="0.25">
      <c r="A142" s="67">
        <v>105</v>
      </c>
      <c r="B142" s="40" t="s">
        <v>2</v>
      </c>
      <c r="C142">
        <v>2029</v>
      </c>
    </row>
    <row r="143" spans="1:3" x14ac:dyDescent="0.25">
      <c r="A143" s="67">
        <v>106</v>
      </c>
      <c r="B143" s="40" t="s">
        <v>3</v>
      </c>
      <c r="C143">
        <v>2029</v>
      </c>
    </row>
    <row r="144" spans="1:3" x14ac:dyDescent="0.25">
      <c r="A144" s="67">
        <v>107</v>
      </c>
      <c r="B144" s="40" t="s">
        <v>4</v>
      </c>
      <c r="C144">
        <v>2029</v>
      </c>
    </row>
    <row r="145" spans="1:3" x14ac:dyDescent="0.25">
      <c r="A145" s="67">
        <v>108</v>
      </c>
      <c r="B145" s="40" t="s">
        <v>5</v>
      </c>
      <c r="C145">
        <v>2029</v>
      </c>
    </row>
    <row r="146" spans="1:3" x14ac:dyDescent="0.25">
      <c r="A146" s="67">
        <v>109</v>
      </c>
      <c r="B146" s="40" t="s">
        <v>6</v>
      </c>
      <c r="C146">
        <v>2030</v>
      </c>
    </row>
    <row r="147" spans="1:3" x14ac:dyDescent="0.25">
      <c r="A147" s="67">
        <v>110</v>
      </c>
      <c r="B147" s="40" t="s">
        <v>7</v>
      </c>
      <c r="C147">
        <v>2030</v>
      </c>
    </row>
    <row r="148" spans="1:3" x14ac:dyDescent="0.25">
      <c r="A148" s="67">
        <v>111</v>
      </c>
      <c r="B148" s="40" t="s">
        <v>8</v>
      </c>
      <c r="C148">
        <v>2030</v>
      </c>
    </row>
    <row r="149" spans="1:3" x14ac:dyDescent="0.25">
      <c r="A149" s="67">
        <v>112</v>
      </c>
      <c r="B149" s="40" t="s">
        <v>9</v>
      </c>
      <c r="C149">
        <v>2030</v>
      </c>
    </row>
    <row r="150" spans="1:3" x14ac:dyDescent="0.25">
      <c r="A150" s="67">
        <v>113</v>
      </c>
      <c r="B150" s="40" t="s">
        <v>10</v>
      </c>
      <c r="C150">
        <v>2030</v>
      </c>
    </row>
    <row r="151" spans="1:3" x14ac:dyDescent="0.25">
      <c r="A151" s="68">
        <v>114</v>
      </c>
      <c r="B151" s="41" t="s">
        <v>11</v>
      </c>
      <c r="C151">
        <v>2030</v>
      </c>
    </row>
  </sheetData>
  <sheetProtection algorithmName="SHA-512" hashValue="9cNYNlaFs5kZQ3mqsqA/igrUwMih9gl74Rk0EPCTNoorr0AYyhe+C5xBehfUguyIyCJlmb9XoFdGoEIJpYTZdA==" saltValue="K184C/WByzSu4Wqbw4rqVQ==" spinCount="100000" sheet="1" objects="1" scenarios="1"/>
  <sortState xmlns:xlrd2="http://schemas.microsoft.com/office/spreadsheetml/2017/richdata2" ref="AF32:AF42">
    <sortCondition ref="AF47"/>
  </sortState>
  <mergeCells count="5">
    <mergeCell ref="E21:G21"/>
    <mergeCell ref="M21:M22"/>
    <mergeCell ref="Q21:R21"/>
    <mergeCell ref="AR62:AS62"/>
    <mergeCell ref="AR63:AS63"/>
  </mergeCells>
  <dataValidations count="2">
    <dataValidation type="list" allowBlank="1" showInputMessage="1" showErrorMessage="1" sqref="B3 AD3 AD20" xr:uid="{00000000-0002-0000-0D00-000000000000}">
      <formula1>"Jan, Feb, Mar, Apr, May, June, July, Aug, Sept, Oct, Nov, Dec"</formula1>
    </dataValidation>
    <dataValidation type="list" allowBlank="1" showInputMessage="1" showErrorMessage="1" sqref="C3 AE3 AE20" xr:uid="{00000000-0002-0000-0D00-000001000000}">
      <formula1>"2018, 2019, 2020, 2021, 2022"</formula1>
    </dataValidation>
  </dataValidation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theme="4" tint="0.39997558519241921"/>
  </sheetPr>
  <dimension ref="A1:N83"/>
  <sheetViews>
    <sheetView workbookViewId="0">
      <selection activeCell="E6" sqref="E6:F6"/>
    </sheetView>
  </sheetViews>
  <sheetFormatPr defaultRowHeight="12.75" x14ac:dyDescent="0.2"/>
  <cols>
    <col min="1" max="1" width="2.7109375" style="267" customWidth="1"/>
    <col min="2" max="2" width="12.42578125" style="267" customWidth="1"/>
    <col min="3" max="3" width="7.85546875" style="267" customWidth="1"/>
    <col min="4" max="4" width="1.42578125" style="267" customWidth="1"/>
    <col min="5" max="5" width="13.7109375" style="267" customWidth="1"/>
    <col min="6" max="6" width="13.5703125" style="267" customWidth="1"/>
    <col min="7" max="7" width="1.42578125" style="267" customWidth="1"/>
    <col min="8" max="8" width="13.7109375" style="267" customWidth="1"/>
    <col min="9" max="9" width="13.5703125" style="267" customWidth="1"/>
    <col min="10" max="10" width="1.42578125" style="267" customWidth="1"/>
    <col min="11" max="11" width="13.7109375" style="267" customWidth="1"/>
    <col min="12" max="12" width="13.5703125" style="267" customWidth="1"/>
    <col min="13" max="13" width="1.85546875" style="267" customWidth="1"/>
    <col min="14" max="14" width="17.85546875" style="267" customWidth="1"/>
    <col min="15" max="16384" width="9.140625" style="267"/>
  </cols>
  <sheetData>
    <row r="1" spans="1:14" ht="18.75" x14ac:dyDescent="0.3">
      <c r="A1" s="1062" t="s">
        <v>676</v>
      </c>
      <c r="B1" s="1062"/>
      <c r="C1" s="1062"/>
      <c r="D1" s="1062"/>
      <c r="E1" s="1062"/>
      <c r="F1" s="1062"/>
      <c r="G1" s="1062"/>
      <c r="H1" s="1062"/>
      <c r="I1" s="1062"/>
      <c r="J1" s="1062"/>
      <c r="K1" s="1062"/>
      <c r="L1" s="1062"/>
      <c r="M1" s="1062"/>
      <c r="N1" s="1062"/>
    </row>
    <row r="2" spans="1:14" ht="3.75" customHeight="1" x14ac:dyDescent="0.2">
      <c r="A2" s="1063"/>
      <c r="B2" s="1063"/>
      <c r="C2" s="1063"/>
      <c r="D2" s="1063"/>
      <c r="E2" s="1063"/>
      <c r="F2" s="1063"/>
      <c r="G2" s="1063"/>
      <c r="H2" s="1063"/>
      <c r="I2" s="1063"/>
      <c r="J2" s="1063"/>
      <c r="K2" s="1063"/>
      <c r="L2" s="1063"/>
      <c r="M2" s="1063"/>
      <c r="N2" s="1063"/>
    </row>
    <row r="3" spans="1:14" x14ac:dyDescent="0.2">
      <c r="A3" s="1064" t="str">
        <f>BudgetSummaryDetailed!$A$6</f>
        <v>Project Title</v>
      </c>
      <c r="B3" s="1064"/>
      <c r="C3" s="1064"/>
      <c r="D3" s="1064"/>
      <c r="E3" s="1064"/>
      <c r="F3" s="1064"/>
      <c r="G3" s="1064"/>
      <c r="H3" s="1064"/>
      <c r="I3" s="1064"/>
      <c r="J3" s="1064"/>
      <c r="K3" s="1064"/>
      <c r="L3" s="1064"/>
      <c r="M3" s="1064"/>
      <c r="N3" s="1064"/>
    </row>
    <row r="4" spans="1:14" x14ac:dyDescent="0.2">
      <c r="A4" s="1064" t="str">
        <f>BudgetSummaryDetailed!$A$5</f>
        <v>PI</v>
      </c>
      <c r="B4" s="1064"/>
      <c r="C4" s="1064"/>
      <c r="D4" s="1064"/>
      <c r="E4" s="1064"/>
      <c r="F4" s="1064"/>
      <c r="G4" s="1064"/>
      <c r="H4" s="1064"/>
      <c r="I4" s="1064"/>
      <c r="J4" s="1064"/>
      <c r="K4" s="1064"/>
      <c r="L4" s="1064"/>
      <c r="M4" s="1064"/>
      <c r="N4" s="1064"/>
    </row>
    <row r="5" spans="1:14" ht="7.5" customHeight="1" x14ac:dyDescent="0.2">
      <c r="B5" s="1066"/>
      <c r="C5" s="1066"/>
      <c r="D5" s="1066"/>
      <c r="E5" s="1066"/>
      <c r="F5" s="1066"/>
      <c r="G5" s="1066"/>
      <c r="H5" s="1066"/>
      <c r="I5" s="1066"/>
      <c r="J5" s="1066"/>
      <c r="K5" s="1066"/>
      <c r="L5" s="1066"/>
      <c r="M5" s="1066"/>
      <c r="N5" s="1066"/>
    </row>
    <row r="6" spans="1:14" ht="11.25" customHeight="1" x14ac:dyDescent="0.2">
      <c r="E6" s="1067" t="str">
        <f>BudgetSummaryDetailed!H7&amp;" "&amp;"1,"&amp;" "&amp;BudgetSummaryDetailed!I7&amp;" "&amp;"-"&amp;" "&amp;PersonCalcYr2!K4&amp;" "&amp;PersonCalcYr2!N4&amp;","&amp;" "&amp;PersonCalcYr2!M4</f>
        <v>Sept 1, 2022 - Aug 31, 2023</v>
      </c>
      <c r="F6" s="1067"/>
      <c r="G6" s="383"/>
      <c r="H6" s="1067" t="str">
        <f>BudgetSummaryDetailed!S7&amp;" "&amp;"1,"&amp;" "&amp;BudgetSummaryDetailed!T7&amp;" "&amp;"-"&amp;" "&amp;PersonCalcYr2!K5&amp;" "&amp;PersonCalcYr2!N5&amp;", "&amp;" "&amp;PersonCalcYr2!M5</f>
        <v>Sept 1, 2023 - Aug 31,  2024</v>
      </c>
      <c r="I6" s="1067"/>
      <c r="J6" s="383"/>
      <c r="K6" s="1067" t="str">
        <f>BudgetSummaryDetailed!AD7&amp;" "&amp;"1,"&amp;" "&amp;BudgetSummaryDetailed!AE7&amp;" "&amp;"-"&amp;" "&amp;PersonCalcYr2!K6&amp;" "&amp;PersonCalcYr2!N6&amp;","&amp;" "&amp;PersonCalcYr2!M6</f>
        <v>Sept 1, 2024 - Aug 31, 2025</v>
      </c>
      <c r="L6" s="1067"/>
      <c r="M6" s="383"/>
      <c r="N6" s="873" t="str">
        <f>BudgetSummaryDetailed!H7&amp;" "&amp;"1,"&amp;" "&amp;BudgetSummaryDetailed!I7&amp;" "&amp;"-"&amp;" "&amp;PersonCalcYr2!K6&amp;" "&amp;PersonCalcYr2!N6&amp;","&amp;" "&amp;PersonCalcYr2!M6</f>
        <v>Sept 1, 2022 - Aug 31, 2025</v>
      </c>
    </row>
    <row r="7" spans="1:14" s="865" customFormat="1" ht="11.25" customHeight="1" x14ac:dyDescent="0.2">
      <c r="E7" s="1065" t="s">
        <v>433</v>
      </c>
      <c r="F7" s="1065"/>
      <c r="H7" s="1065" t="s">
        <v>596</v>
      </c>
      <c r="I7" s="1065"/>
      <c r="K7" s="1065" t="s">
        <v>654</v>
      </c>
      <c r="L7" s="1065"/>
      <c r="N7" s="867" t="s">
        <v>670</v>
      </c>
    </row>
    <row r="8" spans="1:14" ht="11.25" customHeight="1" x14ac:dyDescent="0.2">
      <c r="A8" s="267" t="s">
        <v>671</v>
      </c>
    </row>
    <row r="9" spans="1:14" ht="11.25" customHeight="1" x14ac:dyDescent="0.2">
      <c r="B9" s="383">
        <f>BudgetSummaryDetailed!B12</f>
        <v>0</v>
      </c>
      <c r="C9" s="870" t="str">
        <f>BudgetSummaryDetailed!C12</f>
        <v>Faculty</v>
      </c>
      <c r="E9" s="869" t="str">
        <f>BudgetSummaryDetailed!E12&amp;" AY,"&amp;" "&amp;BudgetSummaryDetailed!F12&amp;" "&amp;"Days Sum"</f>
        <v>0 AY, 10 Days Sum</v>
      </c>
      <c r="F9" s="861">
        <f>BudgetSummaryDetailed!G12</f>
        <v>0</v>
      </c>
      <c r="H9" s="869" t="str">
        <f>BudgetSummaryDetailed!P12&amp;" AY,"&amp;" "&amp;BudgetSummaryDetailed!Q12&amp;" "&amp;"Days Sum"</f>
        <v>0 AY, 10 Days Sum</v>
      </c>
      <c r="I9" s="861">
        <f>BudgetSummaryDetailed!R12</f>
        <v>0</v>
      </c>
      <c r="K9" s="869" t="str">
        <f>BudgetSummaryDetailed!AA12&amp;" AY,"&amp;" "&amp;BudgetSummaryDetailed!AB12&amp;" "&amp;"Days Sum"</f>
        <v>0 AY, 10 Days Sum</v>
      </c>
      <c r="L9" s="861">
        <f>BudgetSummaryDetailed!AC12</f>
        <v>0</v>
      </c>
      <c r="N9" s="868">
        <f>F9+I9+L9</f>
        <v>0</v>
      </c>
    </row>
    <row r="10" spans="1:14" ht="11.25" customHeight="1" x14ac:dyDescent="0.2">
      <c r="B10" s="383">
        <f>BudgetSummaryDetailed!B13</f>
        <v>0</v>
      </c>
      <c r="C10" s="870" t="str">
        <f>BudgetSummaryDetailed!C13</f>
        <v>Faculty</v>
      </c>
      <c r="E10" s="869" t="str">
        <f>BudgetSummaryDetailed!E13&amp;" AY,"&amp;" "&amp;BudgetSummaryDetailed!F13&amp;" "&amp;"Days Sum"</f>
        <v>0 AY, 10 Days Sum</v>
      </c>
      <c r="F10" s="861">
        <f>BudgetSummaryDetailed!G13</f>
        <v>0</v>
      </c>
      <c r="H10" s="869" t="str">
        <f>BudgetSummaryDetailed!P13&amp;" AY,"&amp;" "&amp;BudgetSummaryDetailed!Q13&amp;" "&amp;"Days Sum"</f>
        <v>0 AY, 10 Days Sum</v>
      </c>
      <c r="I10" s="861">
        <f>BudgetSummaryDetailed!R13</f>
        <v>0</v>
      </c>
      <c r="K10" s="869" t="str">
        <f>BudgetSummaryDetailed!AA13&amp;" AY,"&amp;" "&amp;BudgetSummaryDetailed!AB13&amp;" "&amp;"Days Sum"</f>
        <v>0 AY, 10 Days Sum</v>
      </c>
      <c r="L10" s="861">
        <f>BudgetSummaryDetailed!AC13</f>
        <v>0</v>
      </c>
      <c r="N10" s="868">
        <f t="shared" ref="N10:N49" si="0">F10+I10+L10</f>
        <v>0</v>
      </c>
    </row>
    <row r="11" spans="1:14" ht="11.25" customHeight="1" x14ac:dyDescent="0.2">
      <c r="B11" s="383">
        <f>BudgetSummaryDetailed!B14</f>
        <v>0</v>
      </c>
      <c r="C11" s="870" t="str">
        <f>BudgetSummaryDetailed!C14</f>
        <v>Faculty</v>
      </c>
      <c r="E11" s="869" t="str">
        <f>BudgetSummaryDetailed!E14&amp;" AY,"&amp;" "&amp;BudgetSummaryDetailed!F14&amp;" "&amp;"Days Sum"</f>
        <v>0 AY, 10 Days Sum</v>
      </c>
      <c r="F11" s="861">
        <f>BudgetSummaryDetailed!G14</f>
        <v>0</v>
      </c>
      <c r="H11" s="869" t="str">
        <f>BudgetSummaryDetailed!P14&amp;" AY,"&amp;" "&amp;BudgetSummaryDetailed!Q14&amp;" "&amp;"Days Sum"</f>
        <v>0 AY, 10 Days Sum</v>
      </c>
      <c r="I11" s="861">
        <f>BudgetSummaryDetailed!R14</f>
        <v>0</v>
      </c>
      <c r="K11" s="869" t="str">
        <f>BudgetSummaryDetailed!AA14&amp;" AY,"&amp;" "&amp;BudgetSummaryDetailed!AB14&amp;" "&amp;"Days Sum"</f>
        <v>0 AY, 10 Days Sum</v>
      </c>
      <c r="L11" s="861">
        <f>BudgetSummaryDetailed!AC14</f>
        <v>0</v>
      </c>
      <c r="N11" s="868">
        <f t="shared" si="0"/>
        <v>0</v>
      </c>
    </row>
    <row r="12" spans="1:14" ht="11.25" customHeight="1" x14ac:dyDescent="0.2">
      <c r="B12" s="383">
        <f>BudgetSummaryDetailed!B15</f>
        <v>0</v>
      </c>
      <c r="C12" s="870" t="str">
        <f>BudgetSummaryDetailed!C15</f>
        <v>Faculty</v>
      </c>
      <c r="E12" s="869" t="str">
        <f>BudgetSummaryDetailed!E15&amp;" AY,"&amp;" "&amp;BudgetSummaryDetailed!F15&amp;" "&amp;"Days Sum"</f>
        <v>0 AY, 0 Days Sum</v>
      </c>
      <c r="F12" s="861">
        <f>BudgetSummaryDetailed!G15</f>
        <v>0</v>
      </c>
      <c r="H12" s="869" t="str">
        <f>BudgetSummaryDetailed!P15&amp;" AY,"&amp;" "&amp;BudgetSummaryDetailed!Q15&amp;" "&amp;"Days Sum"</f>
        <v>0 AY, 0 Days Sum</v>
      </c>
      <c r="I12" s="861">
        <f>BudgetSummaryDetailed!R15</f>
        <v>0</v>
      </c>
      <c r="K12" s="869" t="str">
        <f>BudgetSummaryDetailed!AA15&amp;" AY,"&amp;" "&amp;BudgetSummaryDetailed!AB15&amp;" "&amp;"Days Sum"</f>
        <v>0 AY, 0 Days Sum</v>
      </c>
      <c r="L12" s="861">
        <f>BudgetSummaryDetailed!AC15</f>
        <v>0</v>
      </c>
      <c r="N12" s="868">
        <f t="shared" si="0"/>
        <v>0</v>
      </c>
    </row>
    <row r="13" spans="1:14" ht="11.25" customHeight="1" x14ac:dyDescent="0.2">
      <c r="B13" s="383">
        <f>BudgetSummaryDetailed!B16</f>
        <v>0</v>
      </c>
      <c r="C13" s="870" t="str">
        <f>BudgetSummaryDetailed!C16</f>
        <v>Faculty</v>
      </c>
      <c r="E13" s="869" t="str">
        <f>BudgetSummaryDetailed!E16&amp;" AY,"&amp;" "&amp;BudgetSummaryDetailed!F16&amp;" "&amp;"Days Sum"</f>
        <v>0 AY, 0 Days Sum</v>
      </c>
      <c r="F13" s="861">
        <f>BudgetSummaryDetailed!G16</f>
        <v>0</v>
      </c>
      <c r="H13" s="869" t="str">
        <f>BudgetSummaryDetailed!P16&amp;" AY,"&amp;" "&amp;BudgetSummaryDetailed!Q16&amp;" "&amp;"Days Sum"</f>
        <v>0 AY, 0 Days Sum</v>
      </c>
      <c r="I13" s="861">
        <f>BudgetSummaryDetailed!R16</f>
        <v>0</v>
      </c>
      <c r="K13" s="869" t="str">
        <f>BudgetSummaryDetailed!AA16&amp;" AY,"&amp;" "&amp;BudgetSummaryDetailed!AB16&amp;" "&amp;"Days Sum"</f>
        <v>0 AY, 0 Days Sum</v>
      </c>
      <c r="L13" s="861">
        <f>BudgetSummaryDetailed!AC16</f>
        <v>0</v>
      </c>
      <c r="N13" s="868">
        <f t="shared" si="0"/>
        <v>0</v>
      </c>
    </row>
    <row r="14" spans="1:14" ht="11.25" customHeight="1" x14ac:dyDescent="0.2">
      <c r="B14" s="383">
        <f>BudgetSummaryDetailed!B17</f>
        <v>0</v>
      </c>
      <c r="C14" s="870" t="str">
        <f>BudgetSummaryDetailed!C17</f>
        <v>Prof/Admin</v>
      </c>
      <c r="E14" s="863" t="str">
        <f>BudgetSummaryDetailed!D17&amp;" FY"</f>
        <v>0.1 FY</v>
      </c>
      <c r="F14" s="861">
        <f>BudgetSummaryDetailed!G17</f>
        <v>0</v>
      </c>
      <c r="H14" s="869" t="str">
        <f>BudgetSummaryDetailed!O17&amp;" FY"</f>
        <v>0.1 FY</v>
      </c>
      <c r="I14" s="861">
        <f>BudgetSummaryDetailed!R17</f>
        <v>0</v>
      </c>
      <c r="K14" s="869" t="str">
        <f>BudgetSummaryDetailed!Z17&amp;" FY"</f>
        <v>0.1 FY</v>
      </c>
      <c r="L14" s="861">
        <f>BudgetSummaryDetailed!AC17</f>
        <v>0</v>
      </c>
      <c r="N14" s="868">
        <f t="shared" si="0"/>
        <v>0</v>
      </c>
    </row>
    <row r="15" spans="1:14" ht="11.25" customHeight="1" x14ac:dyDescent="0.2">
      <c r="B15" s="383">
        <f>BudgetSummaryDetailed!B18</f>
        <v>0</v>
      </c>
      <c r="C15" s="870" t="str">
        <f>BudgetSummaryDetailed!C18</f>
        <v>Prof/Admin</v>
      </c>
      <c r="E15" s="863" t="str">
        <f>BudgetSummaryDetailed!D18&amp;" FY"</f>
        <v>0.25 FY</v>
      </c>
      <c r="F15" s="861">
        <f>BudgetSummaryDetailed!G18</f>
        <v>0</v>
      </c>
      <c r="H15" s="869" t="str">
        <f>BudgetSummaryDetailed!O18&amp;" FY"</f>
        <v>0.25 FY</v>
      </c>
      <c r="I15" s="861">
        <f>BudgetSummaryDetailed!R18</f>
        <v>0</v>
      </c>
      <c r="K15" s="869" t="str">
        <f>BudgetSummaryDetailed!Z18&amp;" FY"</f>
        <v>0.25 FY</v>
      </c>
      <c r="L15" s="861">
        <f>BudgetSummaryDetailed!AC18</f>
        <v>0</v>
      </c>
      <c r="N15" s="868">
        <f t="shared" si="0"/>
        <v>0</v>
      </c>
    </row>
    <row r="16" spans="1:14" ht="11.25" customHeight="1" x14ac:dyDescent="0.2">
      <c r="B16" s="383">
        <f>BudgetSummaryDetailed!B19</f>
        <v>0</v>
      </c>
      <c r="C16" s="870" t="str">
        <f>BudgetSummaryDetailed!C19</f>
        <v>Prof/Admin</v>
      </c>
      <c r="E16" s="863" t="str">
        <f>BudgetSummaryDetailed!D19&amp;" FY"</f>
        <v>0.2 FY</v>
      </c>
      <c r="F16" s="861">
        <f>BudgetSummaryDetailed!G19</f>
        <v>0</v>
      </c>
      <c r="H16" s="869" t="str">
        <f>BudgetSummaryDetailed!O19&amp;" FY"</f>
        <v>0.2 FY</v>
      </c>
      <c r="I16" s="861">
        <f>BudgetSummaryDetailed!R19</f>
        <v>0</v>
      </c>
      <c r="K16" s="869" t="str">
        <f>BudgetSummaryDetailed!Z19&amp;" FY"</f>
        <v>0.2 FY</v>
      </c>
      <c r="L16" s="861">
        <f>BudgetSummaryDetailed!AC19</f>
        <v>0</v>
      </c>
      <c r="N16" s="868">
        <f t="shared" si="0"/>
        <v>0</v>
      </c>
    </row>
    <row r="17" spans="1:14" ht="11.25" customHeight="1" x14ac:dyDescent="0.2">
      <c r="B17" s="383">
        <f>BudgetSummaryDetailed!B20</f>
        <v>0</v>
      </c>
      <c r="C17" s="870" t="str">
        <f>BudgetSummaryDetailed!C20</f>
        <v>Prof/Admin</v>
      </c>
      <c r="E17" s="863" t="str">
        <f>BudgetSummaryDetailed!D20&amp;" FY"</f>
        <v>1 FY</v>
      </c>
      <c r="F17" s="861">
        <f>BudgetSummaryDetailed!G20</f>
        <v>0</v>
      </c>
      <c r="H17" s="869" t="str">
        <f>BudgetSummaryDetailed!O20&amp;" FY"</f>
        <v>1 FY</v>
      </c>
      <c r="I17" s="861">
        <f>BudgetSummaryDetailed!R20</f>
        <v>0</v>
      </c>
      <c r="K17" s="869" t="str">
        <f>BudgetSummaryDetailed!Z20&amp;" FY"</f>
        <v>1 FY</v>
      </c>
      <c r="L17" s="861">
        <f>BudgetSummaryDetailed!AC20</f>
        <v>0</v>
      </c>
      <c r="N17" s="868">
        <f t="shared" si="0"/>
        <v>0</v>
      </c>
    </row>
    <row r="18" spans="1:14" ht="11.25" customHeight="1" x14ac:dyDescent="0.2">
      <c r="B18" s="383">
        <f>BudgetSummaryDetailed!B21</f>
        <v>0</v>
      </c>
      <c r="C18" s="870" t="str">
        <f>BudgetSummaryDetailed!C21</f>
        <v>Post Doc</v>
      </c>
      <c r="E18" s="863" t="str">
        <f>BudgetSummaryDetailed!D21&amp;" FY"</f>
        <v>1 FY</v>
      </c>
      <c r="F18" s="861">
        <f>BudgetSummaryDetailed!G21</f>
        <v>0</v>
      </c>
      <c r="H18" s="869" t="str">
        <f>BudgetSummaryDetailed!O21&amp;" FY"</f>
        <v>1 FY</v>
      </c>
      <c r="I18" s="861">
        <f>BudgetSummaryDetailed!R21</f>
        <v>0</v>
      </c>
      <c r="K18" s="869" t="str">
        <f>BudgetSummaryDetailed!Z21&amp;" FY"</f>
        <v>1 FY</v>
      </c>
      <c r="L18" s="861">
        <f>BudgetSummaryDetailed!AC21</f>
        <v>0</v>
      </c>
      <c r="N18" s="868">
        <f t="shared" si="0"/>
        <v>0</v>
      </c>
    </row>
    <row r="19" spans="1:14" ht="11.25" customHeight="1" x14ac:dyDescent="0.2">
      <c r="A19" s="267" t="s">
        <v>672</v>
      </c>
      <c r="C19" s="870"/>
      <c r="E19" s="383"/>
      <c r="F19" s="861"/>
      <c r="H19" s="870"/>
      <c r="I19" s="861"/>
      <c r="K19" s="870"/>
      <c r="L19" s="861"/>
      <c r="N19" s="868"/>
    </row>
    <row r="20" spans="1:14" ht="11.25" customHeight="1" x14ac:dyDescent="0.2">
      <c r="B20" s="383">
        <f>BudgetSummaryDetailed!B22</f>
        <v>0</v>
      </c>
      <c r="C20" s="870" t="str">
        <f>BudgetSummaryDetailed!C22</f>
        <v>Grad Student</v>
      </c>
      <c r="E20" s="863"/>
      <c r="F20" s="861">
        <f>BudgetSummaryDetailed!G22</f>
        <v>0</v>
      </c>
      <c r="H20" s="870"/>
      <c r="I20" s="861">
        <f>BudgetSummaryDetailed!R22</f>
        <v>0</v>
      </c>
      <c r="K20" s="870"/>
      <c r="L20" s="861">
        <f>BudgetSummaryDetailed!AC22</f>
        <v>0</v>
      </c>
      <c r="N20" s="868">
        <f t="shared" si="0"/>
        <v>0</v>
      </c>
    </row>
    <row r="21" spans="1:14" ht="11.25" customHeight="1" x14ac:dyDescent="0.2">
      <c r="B21" s="383">
        <f>BudgetSummaryDetailed!B23</f>
        <v>0</v>
      </c>
      <c r="C21" s="870" t="str">
        <f>BudgetSummaryDetailed!C23</f>
        <v>Grad Student</v>
      </c>
      <c r="E21" s="863"/>
      <c r="F21" s="861">
        <f>BudgetSummaryDetailed!G23</f>
        <v>0</v>
      </c>
      <c r="H21" s="870"/>
      <c r="I21" s="861">
        <f>BudgetSummaryDetailed!R23</f>
        <v>0</v>
      </c>
      <c r="K21" s="870"/>
      <c r="L21" s="861">
        <f>BudgetSummaryDetailed!AC23</f>
        <v>0</v>
      </c>
      <c r="N21" s="868">
        <f t="shared" si="0"/>
        <v>0</v>
      </c>
    </row>
    <row r="22" spans="1:14" ht="11.25" customHeight="1" x14ac:dyDescent="0.2">
      <c r="B22" s="383">
        <f>BudgetSummaryDetailed!B24</f>
        <v>0</v>
      </c>
      <c r="C22" s="870" t="str">
        <f>BudgetSummaryDetailed!C24</f>
        <v>Grad Student</v>
      </c>
      <c r="E22" s="863"/>
      <c r="F22" s="861">
        <f>BudgetSummaryDetailed!G24</f>
        <v>0</v>
      </c>
      <c r="H22" s="870"/>
      <c r="I22" s="861">
        <f>BudgetSummaryDetailed!R24</f>
        <v>0</v>
      </c>
      <c r="K22" s="870"/>
      <c r="L22" s="861">
        <f>BudgetSummaryDetailed!AC24</f>
        <v>0</v>
      </c>
      <c r="N22" s="868">
        <f t="shared" si="0"/>
        <v>0</v>
      </c>
    </row>
    <row r="23" spans="1:14" ht="11.25" customHeight="1" x14ac:dyDescent="0.2">
      <c r="B23" s="383">
        <f>BudgetSummaryDetailed!B25</f>
        <v>0</v>
      </c>
      <c r="C23" s="870" t="str">
        <f>BudgetSummaryDetailed!C25</f>
        <v>Grad Student</v>
      </c>
      <c r="E23" s="863"/>
      <c r="F23" s="861">
        <f>BudgetSummaryDetailed!G25</f>
        <v>0</v>
      </c>
      <c r="H23" s="870"/>
      <c r="I23" s="861">
        <f>BudgetSummaryDetailed!R25</f>
        <v>0</v>
      </c>
      <c r="K23" s="870"/>
      <c r="L23" s="861">
        <f>BudgetSummaryDetailed!AC25</f>
        <v>0</v>
      </c>
      <c r="N23" s="868">
        <f t="shared" si="0"/>
        <v>0</v>
      </c>
    </row>
    <row r="24" spans="1:14" ht="11.25" customHeight="1" x14ac:dyDescent="0.2">
      <c r="B24" s="383">
        <f>BudgetSummaryDetailed!B26</f>
        <v>0</v>
      </c>
      <c r="C24" s="870" t="str">
        <f>BudgetSummaryDetailed!C26</f>
        <v>Grad Student</v>
      </c>
      <c r="E24" s="863"/>
      <c r="F24" s="861">
        <f>BudgetSummaryDetailed!G26</f>
        <v>0</v>
      </c>
      <c r="H24" s="870"/>
      <c r="I24" s="861">
        <f>BudgetSummaryDetailed!R26</f>
        <v>0</v>
      </c>
      <c r="K24" s="870"/>
      <c r="L24" s="861">
        <f>BudgetSummaryDetailed!AC26</f>
        <v>0</v>
      </c>
      <c r="N24" s="868">
        <f t="shared" si="0"/>
        <v>0</v>
      </c>
    </row>
    <row r="25" spans="1:14" ht="11.25" customHeight="1" x14ac:dyDescent="0.2">
      <c r="A25" s="267" t="s">
        <v>673</v>
      </c>
      <c r="C25" s="870"/>
      <c r="E25" s="383"/>
      <c r="F25" s="861"/>
      <c r="H25" s="870"/>
      <c r="I25" s="861"/>
      <c r="K25" s="870"/>
      <c r="L25" s="861"/>
      <c r="N25" s="868"/>
    </row>
    <row r="26" spans="1:14" ht="12" customHeight="1" x14ac:dyDescent="0.35">
      <c r="B26" s="383">
        <f>BudgetSummaryDetailed!C27+BudgetSummaryDetailed!C28+BudgetSummaryDetailed!C29</f>
        <v>0</v>
      </c>
      <c r="C26" s="870" t="s">
        <v>674</v>
      </c>
      <c r="E26" s="864" t="str">
        <f>BudgetSummaryDetailed!F27+BudgetSummaryDetailed!F28++BudgetSummaryDetailed!F29&amp;" "&amp;"hours each"</f>
        <v>0 hours each</v>
      </c>
      <c r="F26" s="874">
        <f>BudgetSummaryDetailed!G27+BudgetSummaryDetailed!G28+BudgetSummaryDetailed!G29</f>
        <v>0</v>
      </c>
      <c r="H26" s="871" t="str">
        <f>BudgetSummaryDetailed!Q27+BudgetSummaryDetailed!Q28+BudgetSummaryDetailed!Q29&amp;" "&amp;"hours each"</f>
        <v>0 hours each</v>
      </c>
      <c r="I26" s="874">
        <f>BudgetSummaryDetailed!R27+BudgetSummaryDetailed!R28+BudgetSummaryDetailed!R29</f>
        <v>0</v>
      </c>
      <c r="K26" s="871" t="str">
        <f>BudgetSummaryDetailed!T27+BudgetSummaryDetailed!T28+BudgetSummaryDetailed!T29&amp;" "&amp;"hours each"</f>
        <v>0 hours each</v>
      </c>
      <c r="L26" s="874">
        <f>BudgetSummaryDetailed!AC27+BudgetSummaryDetailed!AC28+BudgetSummaryDetailed!AC29</f>
        <v>0</v>
      </c>
      <c r="N26" s="875">
        <f t="shared" si="0"/>
        <v>0</v>
      </c>
    </row>
    <row r="27" spans="1:14" ht="12.75" customHeight="1" x14ac:dyDescent="0.2">
      <c r="B27" s="267" t="s">
        <v>422</v>
      </c>
      <c r="F27" s="861">
        <f>SUM(F9:F26)</f>
        <v>0</v>
      </c>
      <c r="G27" s="861">
        <f>SUM(G9:G26)</f>
        <v>0</v>
      </c>
      <c r="H27" s="861"/>
      <c r="I27" s="861">
        <f>SUM(I9:I26)</f>
        <v>0</v>
      </c>
      <c r="J27" s="861">
        <f>SUM(J9:J26)</f>
        <v>0</v>
      </c>
      <c r="K27" s="872"/>
      <c r="L27" s="861">
        <f>SUM(L9:L26)</f>
        <v>0</v>
      </c>
      <c r="N27" s="868">
        <f t="shared" si="0"/>
        <v>0</v>
      </c>
    </row>
    <row r="28" spans="1:14" ht="12.75" customHeight="1" x14ac:dyDescent="0.35">
      <c r="B28" s="876" t="s">
        <v>230</v>
      </c>
      <c r="F28" s="874">
        <f>BudgetSummaryDetailed!H31</f>
        <v>0</v>
      </c>
      <c r="I28" s="874">
        <f>BudgetSummaryDetailed!S31</f>
        <v>0</v>
      </c>
      <c r="L28" s="874">
        <f>BudgetSummaryDetailed!AD31</f>
        <v>0</v>
      </c>
      <c r="N28" s="875">
        <f t="shared" si="0"/>
        <v>0</v>
      </c>
    </row>
    <row r="29" spans="1:14" s="2" customFormat="1" ht="11.25" customHeight="1" x14ac:dyDescent="0.25">
      <c r="A29" s="2" t="s">
        <v>675</v>
      </c>
      <c r="F29" s="266">
        <f>F27+F28</f>
        <v>0</v>
      </c>
      <c r="G29" s="266">
        <f t="shared" ref="G29" si="1">G27+G28</f>
        <v>0</v>
      </c>
      <c r="H29" s="266"/>
      <c r="I29" s="266">
        <f>I27+I28</f>
        <v>0</v>
      </c>
      <c r="L29" s="266">
        <f>L27+L28</f>
        <v>0</v>
      </c>
      <c r="N29" s="880">
        <f t="shared" si="0"/>
        <v>0</v>
      </c>
    </row>
    <row r="30" spans="1:14" s="2" customFormat="1" ht="7.5" customHeight="1" x14ac:dyDescent="0.25">
      <c r="F30" s="266"/>
      <c r="G30" s="266"/>
      <c r="H30" s="266"/>
      <c r="I30" s="266"/>
      <c r="L30" s="266"/>
      <c r="N30" s="880"/>
    </row>
    <row r="31" spans="1:14" ht="11.25" customHeight="1" x14ac:dyDescent="0.2">
      <c r="A31" s="267" t="s">
        <v>213</v>
      </c>
      <c r="F31" s="861"/>
      <c r="I31" s="861"/>
      <c r="L31" s="861"/>
      <c r="N31" s="868"/>
    </row>
    <row r="32" spans="1:14" ht="11.25" customHeight="1" x14ac:dyDescent="0.2">
      <c r="B32" s="860" t="s">
        <v>199</v>
      </c>
      <c r="C32" s="417"/>
      <c r="D32" s="417"/>
      <c r="E32" s="417"/>
      <c r="F32" s="862">
        <f>BudgetSummaryDetailed!H34</f>
        <v>0</v>
      </c>
      <c r="G32" s="417"/>
      <c r="I32" s="861">
        <f>BudgetSummaryDetailed!S34</f>
        <v>0</v>
      </c>
      <c r="L32" s="861">
        <f>BudgetSummaryDetailed!AD34</f>
        <v>0</v>
      </c>
      <c r="N32" s="868">
        <f t="shared" si="0"/>
        <v>0</v>
      </c>
    </row>
    <row r="33" spans="1:14" ht="11.25" customHeight="1" x14ac:dyDescent="0.2">
      <c r="B33" s="860" t="s">
        <v>231</v>
      </c>
      <c r="C33" s="417"/>
      <c r="D33" s="417"/>
      <c r="E33" s="417"/>
      <c r="F33" s="862">
        <f>BudgetSummaryDetailed!H35</f>
        <v>0</v>
      </c>
      <c r="G33" s="417"/>
      <c r="I33" s="861">
        <f>BudgetSummaryDetailed!S35</f>
        <v>0</v>
      </c>
      <c r="L33" s="861">
        <f>BudgetSummaryDetailed!AD35</f>
        <v>0</v>
      </c>
      <c r="N33" s="868">
        <f t="shared" si="0"/>
        <v>0</v>
      </c>
    </row>
    <row r="34" spans="1:14" ht="11.25" customHeight="1" x14ac:dyDescent="0.2">
      <c r="B34" s="860" t="s">
        <v>232</v>
      </c>
      <c r="C34" s="417"/>
      <c r="D34" s="417"/>
      <c r="E34" s="417"/>
      <c r="F34" s="862">
        <f>BudgetSummaryDetailed!H36</f>
        <v>0</v>
      </c>
      <c r="G34" s="417"/>
      <c r="I34" s="861">
        <f>BudgetSummaryDetailed!S36</f>
        <v>0</v>
      </c>
      <c r="L34" s="861">
        <f>BudgetSummaryDetailed!AD36</f>
        <v>0</v>
      </c>
      <c r="N34" s="868">
        <f t="shared" si="0"/>
        <v>0</v>
      </c>
    </row>
    <row r="35" spans="1:14" ht="11.25" customHeight="1" x14ac:dyDescent="0.2">
      <c r="B35" s="860" t="s">
        <v>201</v>
      </c>
      <c r="C35" s="417"/>
      <c r="D35" s="417"/>
      <c r="E35" s="417"/>
      <c r="F35" s="862">
        <f>BudgetSummaryDetailed!H37</f>
        <v>0</v>
      </c>
      <c r="G35" s="417"/>
      <c r="I35" s="861">
        <f>BudgetSummaryDetailed!S37</f>
        <v>0</v>
      </c>
      <c r="L35" s="861">
        <f>BudgetSummaryDetailed!AD37</f>
        <v>0</v>
      </c>
      <c r="N35" s="868">
        <f t="shared" si="0"/>
        <v>0</v>
      </c>
    </row>
    <row r="36" spans="1:14" ht="11.25" customHeight="1" x14ac:dyDescent="0.2">
      <c r="B36" s="860" t="s">
        <v>543</v>
      </c>
      <c r="C36" s="417"/>
      <c r="D36" s="417"/>
      <c r="E36" s="417"/>
      <c r="F36" s="862">
        <f>BudgetSummaryDetailed!H38</f>
        <v>0</v>
      </c>
      <c r="G36" s="417"/>
      <c r="I36" s="861">
        <f>BudgetSummaryDetailed!S38</f>
        <v>0</v>
      </c>
      <c r="L36" s="861">
        <f>BudgetSummaryDetailed!AD38</f>
        <v>0</v>
      </c>
      <c r="N36" s="868">
        <f t="shared" si="0"/>
        <v>0</v>
      </c>
    </row>
    <row r="37" spans="1:14" ht="11.25" customHeight="1" x14ac:dyDescent="0.2">
      <c r="B37" s="860" t="s">
        <v>544</v>
      </c>
      <c r="C37" s="417"/>
      <c r="D37" s="417"/>
      <c r="E37" s="417"/>
      <c r="F37" s="862">
        <f>BudgetSummaryDetailed!H39</f>
        <v>0</v>
      </c>
      <c r="G37" s="417"/>
      <c r="I37" s="861">
        <f>BudgetSummaryDetailed!S39</f>
        <v>0</v>
      </c>
      <c r="L37" s="861">
        <f>BudgetSummaryDetailed!AD39</f>
        <v>0</v>
      </c>
      <c r="N37" s="868">
        <f t="shared" si="0"/>
        <v>0</v>
      </c>
    </row>
    <row r="38" spans="1:14" ht="11.25" customHeight="1" x14ac:dyDescent="0.2">
      <c r="B38" s="860" t="s">
        <v>219</v>
      </c>
      <c r="C38" s="417"/>
      <c r="D38" s="417"/>
      <c r="E38" s="417"/>
      <c r="F38" s="862">
        <f>BudgetSummaryDetailed!H40</f>
        <v>0</v>
      </c>
      <c r="G38" s="417"/>
      <c r="I38" s="861">
        <f>BudgetSummaryDetailed!S40</f>
        <v>0</v>
      </c>
      <c r="L38" s="861">
        <f>BudgetSummaryDetailed!AD40</f>
        <v>0</v>
      </c>
      <c r="N38" s="868">
        <f t="shared" si="0"/>
        <v>0</v>
      </c>
    </row>
    <row r="39" spans="1:14" ht="11.25" customHeight="1" x14ac:dyDescent="0.2">
      <c r="B39" s="860" t="s">
        <v>205</v>
      </c>
      <c r="C39" s="417"/>
      <c r="D39" s="417"/>
      <c r="E39" s="417"/>
      <c r="F39" s="862">
        <f>BudgetSummaryDetailed!H41</f>
        <v>0</v>
      </c>
      <c r="G39" s="417"/>
      <c r="I39" s="861">
        <f>BudgetSummaryDetailed!S41</f>
        <v>0</v>
      </c>
      <c r="L39" s="861">
        <f>BudgetSummaryDetailed!AD41</f>
        <v>0</v>
      </c>
      <c r="N39" s="868">
        <f t="shared" si="0"/>
        <v>0</v>
      </c>
    </row>
    <row r="40" spans="1:14" ht="11.25" customHeight="1" x14ac:dyDescent="0.2">
      <c r="B40" s="860" t="s">
        <v>220</v>
      </c>
      <c r="C40" s="417"/>
      <c r="D40" s="417"/>
      <c r="E40" s="417"/>
      <c r="F40" s="862">
        <f>BudgetSummaryDetailed!H42</f>
        <v>0</v>
      </c>
      <c r="G40" s="417"/>
      <c r="I40" s="861">
        <f>BudgetSummaryDetailed!S42</f>
        <v>0</v>
      </c>
      <c r="L40" s="861">
        <f>BudgetSummaryDetailed!AD42</f>
        <v>0</v>
      </c>
      <c r="N40" s="868">
        <f t="shared" si="0"/>
        <v>0</v>
      </c>
    </row>
    <row r="41" spans="1:14" ht="11.25" customHeight="1" x14ac:dyDescent="0.2">
      <c r="B41" s="860" t="s">
        <v>233</v>
      </c>
      <c r="C41" s="417"/>
      <c r="D41" s="417"/>
      <c r="E41" s="417"/>
      <c r="F41" s="862">
        <f>BudgetSummaryDetailed!H43</f>
        <v>0</v>
      </c>
      <c r="G41" s="417"/>
      <c r="I41" s="861">
        <f>BudgetSummaryDetailed!S43</f>
        <v>0</v>
      </c>
      <c r="L41" s="861">
        <f>BudgetSummaryDetailed!AD43</f>
        <v>0</v>
      </c>
      <c r="N41" s="868">
        <f t="shared" si="0"/>
        <v>0</v>
      </c>
    </row>
    <row r="42" spans="1:14" ht="11.25" customHeight="1" x14ac:dyDescent="0.2">
      <c r="B42" s="860" t="s">
        <v>207</v>
      </c>
      <c r="C42" s="417"/>
      <c r="D42" s="417"/>
      <c r="E42" s="417"/>
      <c r="F42" s="862">
        <f>BudgetSummaryDetailed!H44</f>
        <v>0</v>
      </c>
      <c r="G42" s="417"/>
      <c r="I42" s="861">
        <f>BudgetSummaryDetailed!S44</f>
        <v>0</v>
      </c>
      <c r="L42" s="861">
        <f>BudgetSummaryDetailed!AD44</f>
        <v>0</v>
      </c>
      <c r="N42" s="868">
        <f t="shared" si="0"/>
        <v>0</v>
      </c>
    </row>
    <row r="43" spans="1:14" ht="11.25" customHeight="1" x14ac:dyDescent="0.2">
      <c r="B43" s="860" t="s">
        <v>235</v>
      </c>
      <c r="C43" s="417"/>
      <c r="D43" s="417"/>
      <c r="E43" s="417"/>
      <c r="F43" s="862">
        <f>BudgetSummaryDetailed!H45</f>
        <v>0</v>
      </c>
      <c r="G43" s="417"/>
      <c r="I43" s="861">
        <f>BudgetSummaryDetailed!S45</f>
        <v>0</v>
      </c>
      <c r="L43" s="861">
        <f>BudgetSummaryDetailed!AD45</f>
        <v>0</v>
      </c>
      <c r="N43" s="868">
        <f t="shared" si="0"/>
        <v>0</v>
      </c>
    </row>
    <row r="44" spans="1:14" ht="11.25" customHeight="1" x14ac:dyDescent="0.35">
      <c r="B44" s="860" t="s">
        <v>213</v>
      </c>
      <c r="C44" s="417"/>
      <c r="D44" s="417"/>
      <c r="E44" s="417"/>
      <c r="F44" s="877">
        <f>BudgetSummaryDetailed!H46</f>
        <v>0</v>
      </c>
      <c r="G44" s="417"/>
      <c r="I44" s="874">
        <f>BudgetSummaryDetailed!S46</f>
        <v>0</v>
      </c>
      <c r="L44" s="874">
        <f>BudgetSummaryDetailed!AD46</f>
        <v>0</v>
      </c>
      <c r="N44" s="875">
        <f t="shared" si="0"/>
        <v>0</v>
      </c>
    </row>
    <row r="45" spans="1:14" s="865" customFormat="1" ht="11.25" customHeight="1" x14ac:dyDescent="0.2">
      <c r="A45" s="865" t="s">
        <v>234</v>
      </c>
      <c r="F45" s="866">
        <f>SUM(F32:F44)</f>
        <v>0</v>
      </c>
      <c r="I45" s="866">
        <f>BudgetSummaryDetailed!S47</f>
        <v>0</v>
      </c>
      <c r="L45" s="866">
        <f>BudgetSummaryDetailed!AD47</f>
        <v>0</v>
      </c>
      <c r="N45" s="868">
        <f t="shared" si="0"/>
        <v>0</v>
      </c>
    </row>
    <row r="46" spans="1:14" ht="7.5" customHeight="1" x14ac:dyDescent="0.2">
      <c r="F46" s="861"/>
      <c r="I46" s="861"/>
      <c r="L46" s="861"/>
      <c r="N46" s="868"/>
    </row>
    <row r="47" spans="1:14" ht="15" x14ac:dyDescent="0.25">
      <c r="A47" s="2" t="s">
        <v>236</v>
      </c>
      <c r="B47" s="2"/>
      <c r="F47" s="861">
        <f>BudgetSummaryDetailed!H49</f>
        <v>0</v>
      </c>
      <c r="I47" s="861">
        <f>BudgetSummaryDetailed!S49</f>
        <v>0</v>
      </c>
      <c r="L47" s="861">
        <f>BudgetSummaryDetailed!AD49</f>
        <v>0</v>
      </c>
      <c r="N47" s="868">
        <f t="shared" si="0"/>
        <v>0</v>
      </c>
    </row>
    <row r="48" spans="1:14" ht="16.5" x14ac:dyDescent="0.35">
      <c r="A48" s="2"/>
      <c r="B48" s="2" t="s">
        <v>677</v>
      </c>
      <c r="F48" s="874">
        <f>BudgetSummaryDetailed!H50</f>
        <v>0</v>
      </c>
      <c r="I48" s="874">
        <f>BudgetSummaryDetailed!S50</f>
        <v>0</v>
      </c>
      <c r="L48" s="874">
        <f>BudgetSummaryDetailed!AD50</f>
        <v>0</v>
      </c>
      <c r="N48" s="875">
        <f t="shared" si="0"/>
        <v>0</v>
      </c>
    </row>
    <row r="49" spans="1:14" s="865" customFormat="1" ht="16.5" x14ac:dyDescent="0.35">
      <c r="A49" s="2" t="s">
        <v>678</v>
      </c>
      <c r="B49" s="2"/>
      <c r="F49" s="878">
        <f>BudgetSummaryDetailed!H51</f>
        <v>0</v>
      </c>
      <c r="I49" s="878">
        <f>BudgetSummaryDetailed!S51</f>
        <v>0</v>
      </c>
      <c r="L49" s="878">
        <f>BudgetSummaryDetailed!AD51</f>
        <v>0</v>
      </c>
      <c r="N49" s="879">
        <f t="shared" si="0"/>
        <v>0</v>
      </c>
    </row>
    <row r="50" spans="1:14" x14ac:dyDescent="0.2">
      <c r="F50" s="861"/>
      <c r="L50" s="861"/>
    </row>
    <row r="51" spans="1:14" x14ac:dyDescent="0.2">
      <c r="F51" s="861"/>
      <c r="L51" s="861"/>
    </row>
    <row r="52" spans="1:14" x14ac:dyDescent="0.2">
      <c r="F52" s="861"/>
      <c r="L52" s="861"/>
    </row>
    <row r="53" spans="1:14" x14ac:dyDescent="0.2">
      <c r="F53" s="861"/>
      <c r="L53" s="861"/>
    </row>
    <row r="54" spans="1:14" x14ac:dyDescent="0.2">
      <c r="F54" s="861"/>
      <c r="L54" s="861"/>
    </row>
    <row r="55" spans="1:14" x14ac:dyDescent="0.2">
      <c r="F55" s="861"/>
      <c r="L55" s="861"/>
    </row>
    <row r="56" spans="1:14" x14ac:dyDescent="0.2">
      <c r="F56" s="861"/>
      <c r="L56" s="861"/>
    </row>
    <row r="57" spans="1:14" x14ac:dyDescent="0.2">
      <c r="F57" s="861"/>
      <c r="L57" s="861"/>
    </row>
    <row r="58" spans="1:14" x14ac:dyDescent="0.2">
      <c r="F58" s="861"/>
      <c r="L58" s="861"/>
    </row>
    <row r="59" spans="1:14" x14ac:dyDescent="0.2">
      <c r="F59" s="861"/>
      <c r="L59" s="861"/>
    </row>
    <row r="60" spans="1:14" x14ac:dyDescent="0.2">
      <c r="F60" s="861"/>
      <c r="L60" s="861"/>
    </row>
    <row r="61" spans="1:14" x14ac:dyDescent="0.2">
      <c r="F61" s="861"/>
      <c r="L61" s="861"/>
    </row>
    <row r="62" spans="1:14" x14ac:dyDescent="0.2">
      <c r="F62" s="861"/>
    </row>
    <row r="63" spans="1:14" x14ac:dyDescent="0.2">
      <c r="F63" s="861"/>
    </row>
    <row r="64" spans="1:14" x14ac:dyDescent="0.2">
      <c r="F64" s="861"/>
    </row>
    <row r="65" spans="6:6" x14ac:dyDescent="0.2">
      <c r="F65" s="861"/>
    </row>
    <row r="66" spans="6:6" x14ac:dyDescent="0.2">
      <c r="F66" s="861"/>
    </row>
    <row r="67" spans="6:6" x14ac:dyDescent="0.2">
      <c r="F67" s="861"/>
    </row>
    <row r="68" spans="6:6" x14ac:dyDescent="0.2">
      <c r="F68" s="861"/>
    </row>
    <row r="69" spans="6:6" x14ac:dyDescent="0.2">
      <c r="F69" s="861"/>
    </row>
    <row r="70" spans="6:6" x14ac:dyDescent="0.2">
      <c r="F70" s="861"/>
    </row>
    <row r="71" spans="6:6" x14ac:dyDescent="0.2">
      <c r="F71" s="861"/>
    </row>
    <row r="72" spans="6:6" x14ac:dyDescent="0.2">
      <c r="F72" s="861"/>
    </row>
    <row r="73" spans="6:6" x14ac:dyDescent="0.2">
      <c r="F73" s="861"/>
    </row>
    <row r="74" spans="6:6" x14ac:dyDescent="0.2">
      <c r="F74" s="861"/>
    </row>
    <row r="75" spans="6:6" x14ac:dyDescent="0.2">
      <c r="F75" s="861"/>
    </row>
    <row r="76" spans="6:6" x14ac:dyDescent="0.2">
      <c r="F76" s="861"/>
    </row>
    <row r="77" spans="6:6" x14ac:dyDescent="0.2">
      <c r="F77" s="861"/>
    </row>
    <row r="78" spans="6:6" x14ac:dyDescent="0.2">
      <c r="F78" s="861"/>
    </row>
    <row r="79" spans="6:6" x14ac:dyDescent="0.2">
      <c r="F79" s="861"/>
    </row>
    <row r="80" spans="6:6" x14ac:dyDescent="0.2">
      <c r="F80" s="861"/>
    </row>
    <row r="81" spans="6:6" x14ac:dyDescent="0.2">
      <c r="F81" s="861"/>
    </row>
    <row r="82" spans="6:6" x14ac:dyDescent="0.2">
      <c r="F82" s="861"/>
    </row>
    <row r="83" spans="6:6" x14ac:dyDescent="0.2">
      <c r="F83" s="861"/>
    </row>
  </sheetData>
  <sheetProtection algorithmName="SHA-512" hashValue="mFI1eQfSxcwengfrduNEwfDqejRaa/CGTzwQ68upXQVQaJkqqLkydKZF+dKPHDwdEMNT1MIBsOwbEmXR9A8ygQ==" saltValue="0Y19kus9kPVfuM6L2hXp7Q==" spinCount="100000" sheet="1" objects="1" scenarios="1"/>
  <mergeCells count="11">
    <mergeCell ref="A1:N1"/>
    <mergeCell ref="A2:N2"/>
    <mergeCell ref="A3:N3"/>
    <mergeCell ref="A4:N4"/>
    <mergeCell ref="E7:F7"/>
    <mergeCell ref="H7:I7"/>
    <mergeCell ref="K7:L7"/>
    <mergeCell ref="B5:N5"/>
    <mergeCell ref="E6:F6"/>
    <mergeCell ref="H6:I6"/>
    <mergeCell ref="K6:L6"/>
  </mergeCells>
  <pageMargins left="0.5" right="0.5" top="0.5" bottom="0.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59999389629810485"/>
  </sheetPr>
  <dimension ref="A1:AS96"/>
  <sheetViews>
    <sheetView tabSelected="1" topLeftCell="A30" zoomScale="70" zoomScaleNormal="70" workbookViewId="0">
      <selection activeCell="J1" sqref="J1"/>
    </sheetView>
  </sheetViews>
  <sheetFormatPr defaultRowHeight="15" x14ac:dyDescent="0.25"/>
  <cols>
    <col min="1" max="1" width="3" customWidth="1"/>
    <col min="2" max="2" width="18.85546875" customWidth="1"/>
    <col min="3" max="3" width="12.5703125" customWidth="1"/>
    <col min="4" max="4" width="8.5703125" customWidth="1"/>
    <col min="5" max="5" width="8.28515625" customWidth="1"/>
    <col min="6" max="6" width="10.5703125" customWidth="1"/>
    <col min="7" max="7" width="13.5703125" customWidth="1"/>
    <col min="8" max="8" width="9.85546875" customWidth="1"/>
    <col min="9" max="9" width="14.28515625" customWidth="1"/>
    <col min="10" max="10" width="17.140625" style="383" customWidth="1"/>
    <col min="11" max="11" width="1.85546875" customWidth="1"/>
    <col min="12" max="12" width="3" customWidth="1"/>
    <col min="13" max="13" width="18.85546875" customWidth="1"/>
    <col min="14" max="14" width="12.5703125" customWidth="1"/>
    <col min="15" max="15" width="8.5703125" customWidth="1"/>
    <col min="16" max="16" width="8.28515625" customWidth="1"/>
    <col min="17" max="17" width="10.5703125" customWidth="1"/>
    <col min="18" max="18" width="13.7109375" customWidth="1"/>
    <col min="19" max="19" width="9.85546875" customWidth="1"/>
    <col min="20" max="20" width="14.7109375" customWidth="1"/>
    <col min="21" max="21" width="17.140625" customWidth="1"/>
    <col min="22" max="22" width="1.85546875" customWidth="1"/>
    <col min="23" max="23" width="3" customWidth="1"/>
    <col min="24" max="24" width="18.85546875" customWidth="1"/>
    <col min="25" max="25" width="12.42578125" customWidth="1"/>
    <col min="26" max="26" width="8.7109375" customWidth="1"/>
    <col min="27" max="27" width="8.28515625" customWidth="1"/>
    <col min="28" max="28" width="10.42578125" customWidth="1"/>
    <col min="29" max="29" width="13.5703125" customWidth="1"/>
    <col min="30" max="30" width="9.85546875" customWidth="1"/>
    <col min="31" max="31" width="14.28515625" customWidth="1"/>
    <col min="32" max="32" width="17.140625" customWidth="1"/>
    <col min="33" max="33" width="2" customWidth="1"/>
    <col min="34" max="34" width="3" customWidth="1"/>
    <col min="35" max="35" width="19" customWidth="1"/>
    <col min="36" max="36" width="12.5703125" customWidth="1"/>
    <col min="37" max="37" width="8.5703125" customWidth="1"/>
    <col min="38" max="38" width="8.28515625" customWidth="1"/>
    <col min="39" max="39" width="10.5703125" customWidth="1"/>
    <col min="40" max="40" width="13.5703125" customWidth="1"/>
    <col min="41" max="41" width="9.85546875" customWidth="1"/>
    <col min="42" max="42" width="14.28515625" customWidth="1"/>
    <col min="43" max="43" width="17.140625" customWidth="1"/>
  </cols>
  <sheetData>
    <row r="1" spans="1:45" ht="27" customHeight="1" thickBot="1" x14ac:dyDescent="0.3">
      <c r="J1" s="584" t="s">
        <v>749</v>
      </c>
      <c r="K1" s="303"/>
      <c r="L1" s="303"/>
      <c r="M1" s="303"/>
      <c r="N1" s="303"/>
      <c r="O1" s="303"/>
      <c r="P1" s="303"/>
      <c r="Q1" s="303"/>
      <c r="R1" s="303"/>
      <c r="S1" s="303"/>
      <c r="T1" s="303"/>
      <c r="U1" s="713"/>
      <c r="V1" s="761"/>
      <c r="W1" s="761"/>
      <c r="X1" s="761"/>
      <c r="Y1" s="761"/>
      <c r="Z1" s="761"/>
      <c r="AA1" s="761"/>
      <c r="AB1" s="761"/>
      <c r="AC1" s="761"/>
      <c r="AD1" s="761"/>
      <c r="AE1" s="761"/>
      <c r="AF1" s="762"/>
      <c r="AG1" s="761"/>
      <c r="AH1" s="761"/>
      <c r="AI1" s="761"/>
      <c r="AJ1" s="761"/>
      <c r="AK1" s="761"/>
      <c r="AL1" s="761"/>
      <c r="AM1" s="761"/>
      <c r="AN1" s="761"/>
      <c r="AO1" s="761"/>
      <c r="AP1" s="761"/>
      <c r="AQ1" s="762"/>
    </row>
    <row r="2" spans="1:45" ht="13.5" customHeight="1" thickBot="1" x14ac:dyDescent="0.35">
      <c r="A2" s="1134" t="s">
        <v>13</v>
      </c>
      <c r="B2" s="1135"/>
      <c r="C2" s="1135"/>
      <c r="D2" s="1135"/>
      <c r="E2" s="1135"/>
      <c r="F2" s="1135"/>
      <c r="G2" s="1135"/>
      <c r="H2" s="1135"/>
      <c r="I2" s="1136"/>
      <c r="J2" s="547" t="s">
        <v>442</v>
      </c>
      <c r="K2" s="271"/>
      <c r="L2" s="1142" t="s">
        <v>13</v>
      </c>
      <c r="M2" s="1142"/>
      <c r="N2" s="1142"/>
      <c r="O2" s="1142"/>
      <c r="P2" s="1142"/>
      <c r="Q2" s="1142"/>
      <c r="R2" s="1142"/>
      <c r="S2" s="1142"/>
      <c r="T2" s="1142"/>
      <c r="U2" s="717"/>
      <c r="V2" s="763"/>
      <c r="W2" s="1102" t="s">
        <v>13</v>
      </c>
      <c r="X2" s="1102"/>
      <c r="Y2" s="1102"/>
      <c r="Z2" s="1102"/>
      <c r="AA2" s="1102"/>
      <c r="AB2" s="1102"/>
      <c r="AC2" s="1102"/>
      <c r="AD2" s="1102"/>
      <c r="AE2" s="1102"/>
      <c r="AF2" s="764"/>
      <c r="AG2" s="763"/>
      <c r="AH2" s="1102" t="s">
        <v>13</v>
      </c>
      <c r="AI2" s="1102"/>
      <c r="AJ2" s="1102"/>
      <c r="AK2" s="1102"/>
      <c r="AL2" s="1102"/>
      <c r="AM2" s="1102"/>
      <c r="AN2" s="1102"/>
      <c r="AO2" s="1102"/>
      <c r="AP2" s="1102"/>
      <c r="AQ2" s="764"/>
    </row>
    <row r="3" spans="1:45" s="435" customFormat="1" ht="15.75" customHeight="1" thickBot="1" x14ac:dyDescent="0.4">
      <c r="A3" s="1124" t="s">
        <v>617</v>
      </c>
      <c r="B3" s="1125"/>
      <c r="C3" s="1125"/>
      <c r="D3" s="1125"/>
      <c r="E3" s="1125"/>
      <c r="F3" s="1125"/>
      <c r="G3" s="1125"/>
      <c r="H3" s="1125"/>
      <c r="I3" s="1126"/>
      <c r="J3" s="701"/>
      <c r="K3" s="405"/>
      <c r="L3" s="1143" t="s">
        <v>637</v>
      </c>
      <c r="M3" s="1144"/>
      <c r="N3" s="1144"/>
      <c r="O3" s="1144"/>
      <c r="P3" s="1144"/>
      <c r="Q3" s="1144"/>
      <c r="R3" s="1144"/>
      <c r="S3" s="1144"/>
      <c r="T3" s="1145"/>
      <c r="U3" s="718"/>
      <c r="V3" s="765"/>
      <c r="W3" s="1103" t="s">
        <v>637</v>
      </c>
      <c r="X3" s="1104"/>
      <c r="Y3" s="1104"/>
      <c r="Z3" s="1104"/>
      <c r="AA3" s="1104"/>
      <c r="AB3" s="1104"/>
      <c r="AC3" s="1104"/>
      <c r="AD3" s="1104"/>
      <c r="AE3" s="1105"/>
      <c r="AF3" s="766"/>
      <c r="AG3" s="765"/>
      <c r="AH3" s="1103" t="s">
        <v>637</v>
      </c>
      <c r="AI3" s="1104"/>
      <c r="AJ3" s="1104"/>
      <c r="AK3" s="1104"/>
      <c r="AL3" s="1104"/>
      <c r="AM3" s="1104"/>
      <c r="AN3" s="1104"/>
      <c r="AO3" s="1104"/>
      <c r="AP3" s="1105"/>
      <c r="AQ3" s="766"/>
    </row>
    <row r="4" spans="1:45" ht="24.75" customHeight="1" x14ac:dyDescent="0.35">
      <c r="A4" s="1139" t="s">
        <v>604</v>
      </c>
      <c r="B4" s="1140"/>
      <c r="C4" s="1140"/>
      <c r="D4" s="1140"/>
      <c r="E4" s="1140"/>
      <c r="F4" s="1140"/>
      <c r="G4" s="1140"/>
      <c r="H4" s="1140"/>
      <c r="I4" s="1141"/>
      <c r="K4" s="384"/>
      <c r="L4" s="1114"/>
      <c r="M4" s="1115"/>
      <c r="N4" s="1115"/>
      <c r="O4" s="1115"/>
      <c r="P4" s="1115"/>
      <c r="Q4" s="1115"/>
      <c r="R4" s="1115"/>
      <c r="S4" s="1115"/>
      <c r="T4" s="1116"/>
      <c r="U4" s="384"/>
      <c r="V4" s="767"/>
      <c r="W4" s="1114"/>
      <c r="X4" s="1115"/>
      <c r="Y4" s="1115"/>
      <c r="Z4" s="1115"/>
      <c r="AA4" s="1115"/>
      <c r="AB4" s="1115"/>
      <c r="AC4" s="1115"/>
      <c r="AD4" s="1115"/>
      <c r="AE4" s="1116"/>
      <c r="AF4" s="767"/>
      <c r="AG4" s="767"/>
      <c r="AH4" s="1068"/>
      <c r="AI4" s="1069"/>
      <c r="AJ4" s="1069"/>
      <c r="AK4" s="1069"/>
      <c r="AL4" s="1069"/>
      <c r="AM4" s="1069"/>
      <c r="AN4" s="1069"/>
      <c r="AO4" s="1069"/>
      <c r="AP4" s="1070"/>
      <c r="AQ4" s="767"/>
    </row>
    <row r="5" spans="1:45" ht="15" customHeight="1" thickBot="1" x14ac:dyDescent="0.3">
      <c r="A5" s="1127" t="s">
        <v>222</v>
      </c>
      <c r="B5" s="1128"/>
      <c r="C5" s="1128"/>
      <c r="D5" s="1128"/>
      <c r="E5" s="1129"/>
      <c r="F5" s="721" t="s">
        <v>529</v>
      </c>
      <c r="G5" s="722" t="s">
        <v>519</v>
      </c>
      <c r="H5" s="720"/>
      <c r="I5" s="723"/>
      <c r="J5" s="751"/>
      <c r="L5" s="1117"/>
      <c r="M5" s="1118"/>
      <c r="N5" s="1118"/>
      <c r="O5" s="1118"/>
      <c r="P5" s="1118"/>
      <c r="Q5" s="1118"/>
      <c r="R5" s="1118"/>
      <c r="S5" s="1118"/>
      <c r="T5" s="1119"/>
      <c r="U5" s="751"/>
      <c r="V5" s="333"/>
      <c r="W5" s="1117"/>
      <c r="X5" s="1118"/>
      <c r="Y5" s="1118"/>
      <c r="Z5" s="1118"/>
      <c r="AA5" s="1118"/>
      <c r="AB5" s="1118"/>
      <c r="AC5" s="1118"/>
      <c r="AD5" s="1118"/>
      <c r="AE5" s="1119"/>
      <c r="AF5" s="768"/>
      <c r="AG5" s="333"/>
      <c r="AH5" s="1071"/>
      <c r="AI5" s="1072"/>
      <c r="AJ5" s="1072"/>
      <c r="AK5" s="1072"/>
      <c r="AL5" s="1072"/>
      <c r="AM5" s="1072"/>
      <c r="AN5" s="1072"/>
      <c r="AO5" s="1072"/>
      <c r="AP5" s="1073"/>
      <c r="AQ5" s="768"/>
    </row>
    <row r="6" spans="1:45" ht="15" customHeight="1" thickBot="1" x14ac:dyDescent="0.3">
      <c r="A6" s="1130" t="s">
        <v>638</v>
      </c>
      <c r="B6" s="1131"/>
      <c r="C6" s="1131"/>
      <c r="D6" s="1131"/>
      <c r="E6" s="1131"/>
      <c r="H6" s="719" t="s">
        <v>14</v>
      </c>
      <c r="I6" s="705" t="s">
        <v>15</v>
      </c>
      <c r="J6" s="751"/>
      <c r="L6" s="1150"/>
      <c r="M6" s="1150"/>
      <c r="N6" s="1150"/>
      <c r="O6" s="1150"/>
      <c r="P6" s="1150"/>
      <c r="Q6" s="1150"/>
      <c r="R6" s="1151"/>
      <c r="S6" s="706" t="s">
        <v>14</v>
      </c>
      <c r="T6" s="707" t="s">
        <v>15</v>
      </c>
      <c r="U6" s="751"/>
      <c r="V6" s="333"/>
      <c r="W6" s="1120"/>
      <c r="X6" s="1120"/>
      <c r="Y6" s="1120"/>
      <c r="Z6" s="1120"/>
      <c r="AA6" s="1120"/>
      <c r="AB6" s="1120"/>
      <c r="AC6" s="1121"/>
      <c r="AD6" s="809" t="s">
        <v>14</v>
      </c>
      <c r="AE6" s="810" t="s">
        <v>15</v>
      </c>
      <c r="AF6" s="768"/>
      <c r="AG6" s="333"/>
      <c r="AH6" s="1074"/>
      <c r="AI6" s="1075"/>
      <c r="AJ6" s="1075"/>
      <c r="AK6" s="1075"/>
      <c r="AL6" s="1075"/>
      <c r="AM6" s="1075"/>
      <c r="AN6" s="1075"/>
      <c r="AO6" s="1075"/>
      <c r="AP6" s="1076"/>
      <c r="AQ6" s="768"/>
    </row>
    <row r="7" spans="1:45" ht="15" customHeight="1" x14ac:dyDescent="0.25">
      <c r="A7" s="1146" t="s">
        <v>223</v>
      </c>
      <c r="B7" s="1147"/>
      <c r="C7" s="1147"/>
      <c r="D7" s="1147"/>
      <c r="E7" s="1148"/>
      <c r="F7" s="703"/>
      <c r="G7" s="370" t="s">
        <v>17</v>
      </c>
      <c r="H7" s="710" t="s">
        <v>8</v>
      </c>
      <c r="I7" s="704">
        <v>2022</v>
      </c>
      <c r="J7" s="751"/>
      <c r="L7" s="1152"/>
      <c r="M7" s="1152"/>
      <c r="N7" s="1152"/>
      <c r="O7" s="1152"/>
      <c r="P7" s="1152"/>
      <c r="Q7" s="1149" t="s">
        <v>17</v>
      </c>
      <c r="R7" s="1149"/>
      <c r="S7" s="759" t="str">
        <f>PersonCalcYr2!C4</f>
        <v>Sept</v>
      </c>
      <c r="T7" s="760">
        <f>PersonCalcYr2!D4</f>
        <v>2023</v>
      </c>
      <c r="U7" s="751"/>
      <c r="V7" s="333"/>
      <c r="W7" s="1106"/>
      <c r="X7" s="1106"/>
      <c r="Y7" s="1106"/>
      <c r="Z7" s="1106"/>
      <c r="AA7" s="1106"/>
      <c r="AB7" s="1107" t="s">
        <v>17</v>
      </c>
      <c r="AC7" s="1107"/>
      <c r="AD7" s="759" t="str">
        <f>PersonCalcYr3!C4</f>
        <v>Sept</v>
      </c>
      <c r="AE7" s="760">
        <f>PersonCalcYr3!D4</f>
        <v>2024</v>
      </c>
      <c r="AF7" s="768"/>
      <c r="AG7" s="333"/>
      <c r="AH7" s="1106"/>
      <c r="AI7" s="1106"/>
      <c r="AJ7" s="1106"/>
      <c r="AK7" s="1106"/>
      <c r="AL7" s="1106"/>
      <c r="AM7" s="1107"/>
      <c r="AN7" s="1107"/>
      <c r="AO7" s="1077" t="str">
        <f>(H8+S8+AD8)&amp;" "&amp;"months"</f>
        <v>36 months</v>
      </c>
      <c r="AP7" s="1078"/>
      <c r="AQ7" s="768"/>
    </row>
    <row r="8" spans="1:45" ht="15" customHeight="1" thickBot="1" x14ac:dyDescent="0.35">
      <c r="A8" s="1132" t="str">
        <f>"Period 1"&amp;":"&amp;" "&amp;H7&amp;" "&amp;"1,"&amp;" "&amp;I7&amp;" "&amp;"-"&amp;" "&amp;PersonCalcYr2!K4&amp;" "&amp;PersonCalcYr2!N4&amp;","&amp;" "&amp;PersonCalcYr2!M4</f>
        <v>Period 1: Sept 1, 2022 - Aug 31, 2023</v>
      </c>
      <c r="B8" s="1133"/>
      <c r="C8" s="1133"/>
      <c r="D8" s="1133"/>
      <c r="E8" s="1133"/>
      <c r="F8" s="1137" t="s">
        <v>18</v>
      </c>
      <c r="G8" s="1138"/>
      <c r="H8" s="711">
        <v>12</v>
      </c>
      <c r="I8" s="712"/>
      <c r="J8" s="752"/>
      <c r="K8" s="22"/>
      <c r="L8" s="1122" t="str">
        <f>"Period 2"&amp;":"&amp;" "&amp;S7&amp;" "&amp;"1,"&amp;" "&amp;T7&amp;" "&amp;"-"&amp;" "&amp;PersonCalcYr2!K5&amp;" "&amp;PersonCalcYr2!N5&amp;","&amp;" "&amp;PersonCalcYr2!M5</f>
        <v>Period 2: Sept 1, 2023 - Aug 31, 2024</v>
      </c>
      <c r="M8" s="1122"/>
      <c r="N8" s="1122"/>
      <c r="O8" s="1122"/>
      <c r="P8" s="1122"/>
      <c r="Q8" s="1177" t="s">
        <v>587</v>
      </c>
      <c r="R8" s="1177"/>
      <c r="S8" s="757">
        <v>12</v>
      </c>
      <c r="T8" s="753"/>
      <c r="V8" s="364"/>
      <c r="W8" s="1122" t="str">
        <f>"Period 3"&amp;":"&amp;" "&amp;AD7&amp;" "&amp;"1,"&amp;" "&amp;AE7&amp;" "&amp;"-"&amp;" "&amp;PersonCalcYr2!K6&amp;" "&amp;PersonCalcYr2!N6&amp;","&amp;" "&amp;PersonCalcYr2!M6</f>
        <v>Period 3: Sept 1, 2024 - Aug 31, 2025</v>
      </c>
      <c r="X8" s="1122"/>
      <c r="Y8" s="1122"/>
      <c r="Z8" s="1122"/>
      <c r="AA8" s="1122"/>
      <c r="AB8" s="1123" t="s">
        <v>647</v>
      </c>
      <c r="AC8" s="1123"/>
      <c r="AD8" s="757">
        <v>12</v>
      </c>
      <c r="AE8" s="811"/>
      <c r="AF8" s="333"/>
      <c r="AG8" s="364"/>
      <c r="AH8" s="1108" t="str">
        <f>"Total Budget"&amp;":"&amp;" "&amp;H7&amp;" "&amp;"1,"&amp;" "&amp;I7&amp;" "&amp;"-"&amp;" "&amp;PersonCalcYr2!K6&amp;" "&amp;PersonCalcYr2!N6&amp;","&amp;" "&amp;PersonCalcYr2!M6</f>
        <v>Total Budget: Sept 1, 2022 - Aug 31, 2025</v>
      </c>
      <c r="AI8" s="1108"/>
      <c r="AJ8" s="1108"/>
      <c r="AK8" s="1108"/>
      <c r="AL8" s="1108"/>
      <c r="AM8" s="1109" t="s">
        <v>648</v>
      </c>
      <c r="AN8" s="1109"/>
      <c r="AO8" s="1079"/>
      <c r="AP8" s="1080"/>
      <c r="AQ8" s="333"/>
    </row>
    <row r="9" spans="1:45" ht="7.5" customHeight="1" x14ac:dyDescent="0.25">
      <c r="A9" s="558"/>
      <c r="B9" s="548"/>
      <c r="C9" s="548"/>
      <c r="D9" s="548"/>
      <c r="E9" s="548"/>
      <c r="F9" s="548"/>
      <c r="G9" s="548"/>
      <c r="H9" s="708"/>
      <c r="I9" s="709"/>
      <c r="J9" s="549"/>
      <c r="K9" s="31"/>
      <c r="L9" s="754"/>
      <c r="M9" s="755"/>
      <c r="N9" s="755"/>
      <c r="O9" s="755"/>
      <c r="P9" s="755"/>
      <c r="Q9" s="755"/>
      <c r="R9" s="755"/>
      <c r="S9" s="755"/>
      <c r="T9" s="756"/>
      <c r="U9" s="549"/>
      <c r="V9" s="769"/>
      <c r="W9" s="770"/>
      <c r="X9" s="771"/>
      <c r="Y9" s="771"/>
      <c r="Z9" s="771"/>
      <c r="AA9" s="771"/>
      <c r="AB9" s="771"/>
      <c r="AC9" s="771"/>
      <c r="AD9" s="771"/>
      <c r="AE9" s="812"/>
      <c r="AF9" s="774"/>
      <c r="AG9" s="769"/>
      <c r="AH9" s="770"/>
      <c r="AI9" s="771"/>
      <c r="AJ9" s="771"/>
      <c r="AK9" s="771"/>
      <c r="AL9" s="771"/>
      <c r="AM9" s="771"/>
      <c r="AN9" s="771"/>
      <c r="AO9" s="772"/>
      <c r="AP9" s="773"/>
      <c r="AQ9" s="774"/>
    </row>
    <row r="10" spans="1:45" s="268" customFormat="1" ht="15" customHeight="1" x14ac:dyDescent="0.25">
      <c r="A10" s="1169" t="s">
        <v>586</v>
      </c>
      <c r="B10" s="1153"/>
      <c r="C10" s="1153"/>
      <c r="D10" s="1153"/>
      <c r="E10" s="1153"/>
      <c r="F10" s="1153"/>
      <c r="G10" s="1153"/>
      <c r="H10" s="1153"/>
      <c r="I10" s="1170"/>
      <c r="J10" s="1171" t="s">
        <v>568</v>
      </c>
      <c r="L10" s="1169" t="s">
        <v>586</v>
      </c>
      <c r="M10" s="1153"/>
      <c r="N10" s="1153"/>
      <c r="O10" s="1153"/>
      <c r="P10" s="1153"/>
      <c r="Q10" s="1153"/>
      <c r="R10" s="1153"/>
      <c r="S10" s="1153"/>
      <c r="T10" s="1170"/>
      <c r="U10" s="1171" t="s">
        <v>568</v>
      </c>
      <c r="V10" s="775"/>
      <c r="W10" s="1110" t="s">
        <v>586</v>
      </c>
      <c r="X10" s="1081"/>
      <c r="Y10" s="1081"/>
      <c r="Z10" s="1081"/>
      <c r="AA10" s="1081"/>
      <c r="AB10" s="1081"/>
      <c r="AC10" s="1081"/>
      <c r="AD10" s="1081"/>
      <c r="AE10" s="1111"/>
      <c r="AF10" s="1095" t="s">
        <v>568</v>
      </c>
      <c r="AG10" s="775"/>
      <c r="AH10" s="1110" t="s">
        <v>586</v>
      </c>
      <c r="AI10" s="1081"/>
      <c r="AJ10" s="1081"/>
      <c r="AK10" s="1081"/>
      <c r="AL10" s="1081"/>
      <c r="AM10" s="1081"/>
      <c r="AN10" s="1081"/>
      <c r="AO10" s="1081"/>
      <c r="AP10" s="1111"/>
      <c r="AQ10" s="1095" t="s">
        <v>568</v>
      </c>
      <c r="AR10" s="859"/>
      <c r="AS10" s="859"/>
    </row>
    <row r="11" spans="1:45" s="268" customFormat="1" ht="15" customHeight="1" x14ac:dyDescent="0.25">
      <c r="A11" s="559"/>
      <c r="B11" s="560" t="s">
        <v>174</v>
      </c>
      <c r="C11" s="560" t="s">
        <v>238</v>
      </c>
      <c r="D11" s="565" t="s">
        <v>227</v>
      </c>
      <c r="E11" s="565" t="s">
        <v>228</v>
      </c>
      <c r="F11" s="560" t="s">
        <v>445</v>
      </c>
      <c r="G11" s="560" t="s">
        <v>224</v>
      </c>
      <c r="H11" s="560" t="s">
        <v>225</v>
      </c>
      <c r="I11" s="561" t="s">
        <v>226</v>
      </c>
      <c r="J11" s="1172"/>
      <c r="K11" s="472"/>
      <c r="L11" s="559"/>
      <c r="M11" s="560" t="s">
        <v>174</v>
      </c>
      <c r="N11" s="560" t="s">
        <v>238</v>
      </c>
      <c r="O11" s="565" t="s">
        <v>227</v>
      </c>
      <c r="P11" s="565" t="s">
        <v>228</v>
      </c>
      <c r="Q11" s="560" t="s">
        <v>445</v>
      </c>
      <c r="R11" s="560" t="s">
        <v>224</v>
      </c>
      <c r="S11" s="560" t="s">
        <v>225</v>
      </c>
      <c r="T11" s="561" t="s">
        <v>226</v>
      </c>
      <c r="U11" s="1172"/>
      <c r="V11" s="776"/>
      <c r="W11" s="777"/>
      <c r="X11" s="778" t="s">
        <v>174</v>
      </c>
      <c r="Y11" s="778" t="s">
        <v>238</v>
      </c>
      <c r="Z11" s="779" t="s">
        <v>227</v>
      </c>
      <c r="AA11" s="779" t="s">
        <v>228</v>
      </c>
      <c r="AB11" s="778" t="s">
        <v>445</v>
      </c>
      <c r="AC11" s="778" t="s">
        <v>224</v>
      </c>
      <c r="AD11" s="778" t="s">
        <v>225</v>
      </c>
      <c r="AE11" s="780" t="s">
        <v>226</v>
      </c>
      <c r="AF11" s="1096"/>
      <c r="AG11" s="776"/>
      <c r="AH11" s="777"/>
      <c r="AI11" s="778" t="s">
        <v>174</v>
      </c>
      <c r="AJ11" s="778" t="s">
        <v>238</v>
      </c>
      <c r="AK11" s="779" t="s">
        <v>227</v>
      </c>
      <c r="AL11" s="779" t="s">
        <v>228</v>
      </c>
      <c r="AM11" s="778" t="s">
        <v>445</v>
      </c>
      <c r="AN11" s="778" t="s">
        <v>224</v>
      </c>
      <c r="AO11" s="778" t="s">
        <v>225</v>
      </c>
      <c r="AP11" s="780" t="s">
        <v>226</v>
      </c>
      <c r="AQ11" s="1096"/>
      <c r="AR11" s="859"/>
      <c r="AS11" s="859"/>
    </row>
    <row r="12" spans="1:45" s="268" customFormat="1" ht="15" customHeight="1" x14ac:dyDescent="0.25">
      <c r="A12" s="473">
        <v>1</v>
      </c>
      <c r="B12" s="562">
        <f>Personnel!C10</f>
        <v>0</v>
      </c>
      <c r="C12" s="560" t="str">
        <f>Personnel!C9</f>
        <v>Faculty</v>
      </c>
      <c r="D12" s="563"/>
      <c r="E12" s="564">
        <f>Personnel!G9</f>
        <v>0</v>
      </c>
      <c r="F12" s="635">
        <f>Personnel!G10</f>
        <v>10</v>
      </c>
      <c r="G12" s="566">
        <f>Personnel!I10</f>
        <v>0</v>
      </c>
      <c r="H12" s="566">
        <f>Personnel!I11</f>
        <v>0</v>
      </c>
      <c r="I12" s="567">
        <f t="shared" ref="I12:I29" si="0">SUM(G12:H12)</f>
        <v>0</v>
      </c>
      <c r="J12" s="550">
        <f>Personnel!I12</f>
        <v>0</v>
      </c>
      <c r="L12" s="473">
        <v>1</v>
      </c>
      <c r="M12" s="683">
        <f t="shared" ref="M12:M21" si="1">B12</f>
        <v>0</v>
      </c>
      <c r="N12" s="560" t="str">
        <f>C12</f>
        <v>Faculty</v>
      </c>
      <c r="O12" s="746"/>
      <c r="P12" s="564">
        <f>Personnel!O9</f>
        <v>0</v>
      </c>
      <c r="Q12" s="635">
        <f>Personnel!O10</f>
        <v>10</v>
      </c>
      <c r="R12" s="566">
        <f>Personnel!Q10</f>
        <v>0</v>
      </c>
      <c r="S12" s="566">
        <f>Personnel!Q11</f>
        <v>0</v>
      </c>
      <c r="T12" s="567">
        <f t="shared" ref="T12:T29" si="2">SUM(R12:S12)</f>
        <v>0</v>
      </c>
      <c r="U12" s="550">
        <f>Personnel!Q12</f>
        <v>0</v>
      </c>
      <c r="V12" s="775"/>
      <c r="W12" s="781">
        <v>1</v>
      </c>
      <c r="X12" s="782">
        <f t="shared" ref="X12:X21" si="3">M12</f>
        <v>0</v>
      </c>
      <c r="Y12" s="778" t="str">
        <f t="shared" ref="Y12:Y21" si="4">N12</f>
        <v>Faculty</v>
      </c>
      <c r="Z12" s="783"/>
      <c r="AA12" s="784">
        <f>Personnel!W9</f>
        <v>0</v>
      </c>
      <c r="AB12" s="785">
        <f>Personnel!W10</f>
        <v>10</v>
      </c>
      <c r="AC12" s="786">
        <f>Personnel!Y10</f>
        <v>0</v>
      </c>
      <c r="AD12" s="786">
        <f>Personnel!Y11</f>
        <v>0</v>
      </c>
      <c r="AE12" s="787">
        <f t="shared" ref="AE12:AE29" si="5">SUM(AC12:AD12)</f>
        <v>0</v>
      </c>
      <c r="AF12" s="788">
        <f>Personnel!Y12</f>
        <v>0</v>
      </c>
      <c r="AG12" s="775"/>
      <c r="AH12" s="781">
        <v>1</v>
      </c>
      <c r="AI12" s="782">
        <f>X12</f>
        <v>0</v>
      </c>
      <c r="AJ12" s="778" t="str">
        <f>Y12</f>
        <v>Faculty</v>
      </c>
      <c r="AK12" s="851"/>
      <c r="AL12" s="852"/>
      <c r="AM12" s="853"/>
      <c r="AN12" s="786">
        <f>G12+R12+AC12</f>
        <v>0</v>
      </c>
      <c r="AO12" s="786">
        <f>H12+S12+AD12</f>
        <v>0</v>
      </c>
      <c r="AP12" s="787">
        <f>I12+T12+AE12</f>
        <v>0</v>
      </c>
      <c r="AQ12" s="788">
        <f>J12+U12+AF12</f>
        <v>0</v>
      </c>
      <c r="AR12" s="859"/>
      <c r="AS12" s="859"/>
    </row>
    <row r="13" spans="1:45" s="268" customFormat="1" ht="15" customHeight="1" x14ac:dyDescent="0.25">
      <c r="A13" s="473">
        <v>2</v>
      </c>
      <c r="B13" s="562">
        <f>Personnel!C16</f>
        <v>0</v>
      </c>
      <c r="C13" s="560" t="str">
        <f>Personnel!C15</f>
        <v>Faculty</v>
      </c>
      <c r="D13" s="563"/>
      <c r="E13" s="564">
        <f>Personnel!G15</f>
        <v>0</v>
      </c>
      <c r="F13" s="635">
        <f>Personnel!G16</f>
        <v>10</v>
      </c>
      <c r="G13" s="566">
        <f>Personnel!I16</f>
        <v>0</v>
      </c>
      <c r="H13" s="566">
        <f>Personnel!I17</f>
        <v>0</v>
      </c>
      <c r="I13" s="567">
        <f t="shared" si="0"/>
        <v>0</v>
      </c>
      <c r="J13" s="550">
        <f>Personnel!I18</f>
        <v>0</v>
      </c>
      <c r="L13" s="473">
        <v>2</v>
      </c>
      <c r="M13" s="683">
        <f t="shared" si="1"/>
        <v>0</v>
      </c>
      <c r="N13" s="560" t="str">
        <f t="shared" ref="N13:N21" si="6">C13</f>
        <v>Faculty</v>
      </c>
      <c r="O13" s="563"/>
      <c r="P13" s="564">
        <f>Personnel!O15</f>
        <v>0</v>
      </c>
      <c r="Q13" s="635">
        <f>Personnel!O16</f>
        <v>10</v>
      </c>
      <c r="R13" s="566">
        <f>Personnel!Q16</f>
        <v>0</v>
      </c>
      <c r="S13" s="566">
        <f>Personnel!Q17</f>
        <v>0</v>
      </c>
      <c r="T13" s="567">
        <f t="shared" si="2"/>
        <v>0</v>
      </c>
      <c r="U13" s="550">
        <f>Personnel!Q18</f>
        <v>0</v>
      </c>
      <c r="V13" s="775"/>
      <c r="W13" s="781">
        <v>2</v>
      </c>
      <c r="X13" s="782">
        <f t="shared" si="3"/>
        <v>0</v>
      </c>
      <c r="Y13" s="778" t="str">
        <f t="shared" si="4"/>
        <v>Faculty</v>
      </c>
      <c r="Z13" s="789"/>
      <c r="AA13" s="784">
        <f>Personnel!W15</f>
        <v>0</v>
      </c>
      <c r="AB13" s="785">
        <f>Personnel!W16</f>
        <v>10</v>
      </c>
      <c r="AC13" s="786">
        <f>Personnel!Y16</f>
        <v>0</v>
      </c>
      <c r="AD13" s="786">
        <f>Personnel!Y17</f>
        <v>0</v>
      </c>
      <c r="AE13" s="787">
        <f t="shared" si="5"/>
        <v>0</v>
      </c>
      <c r="AF13" s="788">
        <f>Personnel!Y18</f>
        <v>0</v>
      </c>
      <c r="AG13" s="775"/>
      <c r="AH13" s="781">
        <v>2</v>
      </c>
      <c r="AI13" s="782">
        <f t="shared" ref="AI13:AI21" si="7">X13</f>
        <v>0</v>
      </c>
      <c r="AJ13" s="778" t="str">
        <f t="shared" ref="AJ13:AJ21" si="8">Y13</f>
        <v>Faculty</v>
      </c>
      <c r="AK13" s="854"/>
      <c r="AL13" s="852"/>
      <c r="AM13" s="853"/>
      <c r="AN13" s="786">
        <f t="shared" ref="AN13:AN29" si="9">G13+R13+AC13</f>
        <v>0</v>
      </c>
      <c r="AO13" s="786">
        <f t="shared" ref="AO13:AO29" si="10">H13+S13+AD13</f>
        <v>0</v>
      </c>
      <c r="AP13" s="787">
        <f t="shared" ref="AP13:AP29" si="11">I13+T13+AE13</f>
        <v>0</v>
      </c>
      <c r="AQ13" s="788">
        <f t="shared" ref="AQ13:AQ51" si="12">J13+U13+AF13</f>
        <v>0</v>
      </c>
      <c r="AR13" s="859"/>
      <c r="AS13" s="859"/>
    </row>
    <row r="14" spans="1:45" s="268" customFormat="1" ht="15" customHeight="1" x14ac:dyDescent="0.25">
      <c r="A14" s="473">
        <v>3</v>
      </c>
      <c r="B14" s="562">
        <f>Personnel!C22</f>
        <v>0</v>
      </c>
      <c r="C14" s="560" t="str">
        <f>Personnel!C21</f>
        <v>Faculty</v>
      </c>
      <c r="D14" s="563"/>
      <c r="E14" s="564">
        <f>Personnel!G21</f>
        <v>0</v>
      </c>
      <c r="F14" s="635">
        <f>Personnel!G22</f>
        <v>10</v>
      </c>
      <c r="G14" s="566">
        <f>Personnel!I22</f>
        <v>0</v>
      </c>
      <c r="H14" s="566">
        <f>Personnel!I23</f>
        <v>0</v>
      </c>
      <c r="I14" s="567">
        <f t="shared" si="0"/>
        <v>0</v>
      </c>
      <c r="J14" s="550">
        <f>Personnel!I24</f>
        <v>0</v>
      </c>
      <c r="L14" s="473">
        <v>3</v>
      </c>
      <c r="M14" s="683">
        <f t="shared" si="1"/>
        <v>0</v>
      </c>
      <c r="N14" s="560" t="str">
        <f t="shared" si="6"/>
        <v>Faculty</v>
      </c>
      <c r="O14" s="563"/>
      <c r="P14" s="564">
        <f>Personnel!O21</f>
        <v>0</v>
      </c>
      <c r="Q14" s="635">
        <f>Personnel!O22</f>
        <v>10</v>
      </c>
      <c r="R14" s="566">
        <f>Personnel!Q22</f>
        <v>0</v>
      </c>
      <c r="S14" s="566">
        <f>Personnel!Q23</f>
        <v>0</v>
      </c>
      <c r="T14" s="567">
        <f t="shared" si="2"/>
        <v>0</v>
      </c>
      <c r="U14" s="550">
        <f>Personnel!Q24</f>
        <v>0</v>
      </c>
      <c r="V14" s="775"/>
      <c r="W14" s="781">
        <v>3</v>
      </c>
      <c r="X14" s="782">
        <f t="shared" si="3"/>
        <v>0</v>
      </c>
      <c r="Y14" s="778" t="str">
        <f t="shared" si="4"/>
        <v>Faculty</v>
      </c>
      <c r="Z14" s="789"/>
      <c r="AA14" s="784">
        <f>Personnel!W21</f>
        <v>0</v>
      </c>
      <c r="AB14" s="785">
        <f>Personnel!W22</f>
        <v>10</v>
      </c>
      <c r="AC14" s="786">
        <f>Personnel!Y22</f>
        <v>0</v>
      </c>
      <c r="AD14" s="786">
        <f>Personnel!Y23</f>
        <v>0</v>
      </c>
      <c r="AE14" s="787">
        <f t="shared" si="5"/>
        <v>0</v>
      </c>
      <c r="AF14" s="788">
        <f>Personnel!Y24</f>
        <v>0</v>
      </c>
      <c r="AG14" s="775"/>
      <c r="AH14" s="781">
        <v>3</v>
      </c>
      <c r="AI14" s="782">
        <f t="shared" si="7"/>
        <v>0</v>
      </c>
      <c r="AJ14" s="778" t="str">
        <f t="shared" si="8"/>
        <v>Faculty</v>
      </c>
      <c r="AK14" s="854"/>
      <c r="AL14" s="852"/>
      <c r="AM14" s="853"/>
      <c r="AN14" s="786">
        <f t="shared" si="9"/>
        <v>0</v>
      </c>
      <c r="AO14" s="786">
        <f t="shared" si="10"/>
        <v>0</v>
      </c>
      <c r="AP14" s="787">
        <f t="shared" si="11"/>
        <v>0</v>
      </c>
      <c r="AQ14" s="788">
        <f t="shared" si="12"/>
        <v>0</v>
      </c>
      <c r="AR14" s="859"/>
      <c r="AS14" s="859"/>
    </row>
    <row r="15" spans="1:45" s="268" customFormat="1" ht="15" customHeight="1" x14ac:dyDescent="0.25">
      <c r="A15" s="473">
        <v>4</v>
      </c>
      <c r="B15" s="562">
        <f>Personnel!C28</f>
        <v>0</v>
      </c>
      <c r="C15" s="560" t="str">
        <f>Personnel!C27</f>
        <v>Faculty</v>
      </c>
      <c r="D15" s="563"/>
      <c r="E15" s="564">
        <f>Personnel!G27</f>
        <v>0</v>
      </c>
      <c r="F15" s="635">
        <f>Personnel!G28</f>
        <v>0</v>
      </c>
      <c r="G15" s="566">
        <f>Personnel!I28</f>
        <v>0</v>
      </c>
      <c r="H15" s="566">
        <f>Personnel!I29</f>
        <v>0</v>
      </c>
      <c r="I15" s="567">
        <f t="shared" si="0"/>
        <v>0</v>
      </c>
      <c r="J15" s="550">
        <f>Personnel!I30</f>
        <v>0</v>
      </c>
      <c r="L15" s="473">
        <v>4</v>
      </c>
      <c r="M15" s="683">
        <f t="shared" si="1"/>
        <v>0</v>
      </c>
      <c r="N15" s="560" t="str">
        <f t="shared" si="6"/>
        <v>Faculty</v>
      </c>
      <c r="O15" s="563"/>
      <c r="P15" s="564">
        <f>Personnel!O27</f>
        <v>0</v>
      </c>
      <c r="Q15" s="635">
        <f>Personnel!O28</f>
        <v>0</v>
      </c>
      <c r="R15" s="566">
        <f>Personnel!Q28</f>
        <v>0</v>
      </c>
      <c r="S15" s="566">
        <f>Personnel!Q29</f>
        <v>0</v>
      </c>
      <c r="T15" s="567">
        <f t="shared" si="2"/>
        <v>0</v>
      </c>
      <c r="U15" s="550">
        <f>Personnel!Q30</f>
        <v>0</v>
      </c>
      <c r="V15" s="775"/>
      <c r="W15" s="781">
        <v>4</v>
      </c>
      <c r="X15" s="782">
        <f t="shared" si="3"/>
        <v>0</v>
      </c>
      <c r="Y15" s="778" t="str">
        <f t="shared" si="4"/>
        <v>Faculty</v>
      </c>
      <c r="Z15" s="789"/>
      <c r="AA15" s="784">
        <f>Personnel!W27</f>
        <v>0</v>
      </c>
      <c r="AB15" s="785">
        <f>Personnel!W28</f>
        <v>0</v>
      </c>
      <c r="AC15" s="786">
        <f>Personnel!Y28</f>
        <v>0</v>
      </c>
      <c r="AD15" s="786">
        <f>Personnel!Y29</f>
        <v>0</v>
      </c>
      <c r="AE15" s="787">
        <f t="shared" si="5"/>
        <v>0</v>
      </c>
      <c r="AF15" s="788">
        <f>Personnel!Y30</f>
        <v>0</v>
      </c>
      <c r="AG15" s="775"/>
      <c r="AH15" s="781">
        <v>4</v>
      </c>
      <c r="AI15" s="782">
        <f t="shared" si="7"/>
        <v>0</v>
      </c>
      <c r="AJ15" s="778" t="str">
        <f t="shared" si="8"/>
        <v>Faculty</v>
      </c>
      <c r="AK15" s="854"/>
      <c r="AL15" s="852"/>
      <c r="AM15" s="853"/>
      <c r="AN15" s="786">
        <f t="shared" si="9"/>
        <v>0</v>
      </c>
      <c r="AO15" s="786">
        <f t="shared" si="10"/>
        <v>0</v>
      </c>
      <c r="AP15" s="787">
        <f t="shared" si="11"/>
        <v>0</v>
      </c>
      <c r="AQ15" s="788">
        <f t="shared" si="12"/>
        <v>0</v>
      </c>
      <c r="AR15" s="859"/>
      <c r="AS15" s="859"/>
    </row>
    <row r="16" spans="1:45" s="268" customFormat="1" ht="15" customHeight="1" x14ac:dyDescent="0.25">
      <c r="A16" s="473">
        <v>5</v>
      </c>
      <c r="B16" s="562">
        <f>Personnel!C34</f>
        <v>0</v>
      </c>
      <c r="C16" s="560" t="str">
        <f>Personnel!C33</f>
        <v>Faculty</v>
      </c>
      <c r="D16" s="563"/>
      <c r="E16" s="564">
        <f>Personnel!G33</f>
        <v>0</v>
      </c>
      <c r="F16" s="635">
        <f>Personnel!G34</f>
        <v>0</v>
      </c>
      <c r="G16" s="566">
        <f>Personnel!I34</f>
        <v>0</v>
      </c>
      <c r="H16" s="566">
        <f>Personnel!I35</f>
        <v>0</v>
      </c>
      <c r="I16" s="567">
        <f t="shared" si="0"/>
        <v>0</v>
      </c>
      <c r="J16" s="550">
        <f>Personnel!I36</f>
        <v>0</v>
      </c>
      <c r="L16" s="473">
        <v>5</v>
      </c>
      <c r="M16" s="683">
        <f t="shared" si="1"/>
        <v>0</v>
      </c>
      <c r="N16" s="560" t="str">
        <f t="shared" si="6"/>
        <v>Faculty</v>
      </c>
      <c r="O16" s="563"/>
      <c r="P16" s="564">
        <f>Personnel!O33</f>
        <v>0</v>
      </c>
      <c r="Q16" s="635">
        <f>Personnel!O34</f>
        <v>0</v>
      </c>
      <c r="R16" s="566">
        <f>Personnel!Q34</f>
        <v>0</v>
      </c>
      <c r="S16" s="566">
        <f>Personnel!Q35</f>
        <v>0</v>
      </c>
      <c r="T16" s="567">
        <f t="shared" si="2"/>
        <v>0</v>
      </c>
      <c r="U16" s="550">
        <f>Personnel!Q36</f>
        <v>0</v>
      </c>
      <c r="V16" s="775"/>
      <c r="W16" s="781">
        <v>5</v>
      </c>
      <c r="X16" s="782">
        <f t="shared" si="3"/>
        <v>0</v>
      </c>
      <c r="Y16" s="778" t="str">
        <f t="shared" si="4"/>
        <v>Faculty</v>
      </c>
      <c r="Z16" s="789"/>
      <c r="AA16" s="784">
        <f>Personnel!W33</f>
        <v>0</v>
      </c>
      <c r="AB16" s="785">
        <f>Personnel!W34</f>
        <v>0</v>
      </c>
      <c r="AC16" s="786">
        <f>Personnel!Y34</f>
        <v>0</v>
      </c>
      <c r="AD16" s="786">
        <f>Personnel!Y35</f>
        <v>0</v>
      </c>
      <c r="AE16" s="787">
        <f t="shared" si="5"/>
        <v>0</v>
      </c>
      <c r="AF16" s="788">
        <f>Personnel!Y36</f>
        <v>0</v>
      </c>
      <c r="AG16" s="775"/>
      <c r="AH16" s="781">
        <v>5</v>
      </c>
      <c r="AI16" s="782">
        <f t="shared" si="7"/>
        <v>0</v>
      </c>
      <c r="AJ16" s="778" t="str">
        <f t="shared" si="8"/>
        <v>Faculty</v>
      </c>
      <c r="AK16" s="854"/>
      <c r="AL16" s="852"/>
      <c r="AM16" s="853"/>
      <c r="AN16" s="786">
        <f>G16+R16+AC16</f>
        <v>0</v>
      </c>
      <c r="AO16" s="786">
        <f t="shared" si="10"/>
        <v>0</v>
      </c>
      <c r="AP16" s="787">
        <f t="shared" si="11"/>
        <v>0</v>
      </c>
      <c r="AQ16" s="788">
        <f t="shared" si="12"/>
        <v>0</v>
      </c>
      <c r="AR16" s="859"/>
      <c r="AS16" s="859"/>
    </row>
    <row r="17" spans="1:45" s="268" customFormat="1" ht="15" customHeight="1" x14ac:dyDescent="0.25">
      <c r="A17" s="473">
        <v>6</v>
      </c>
      <c r="B17" s="562">
        <f>Personnel!C40</f>
        <v>0</v>
      </c>
      <c r="C17" s="560" t="str">
        <f>Personnel!C39</f>
        <v>Prof/Admin</v>
      </c>
      <c r="D17" s="564">
        <f>Personnel!G39</f>
        <v>0.1</v>
      </c>
      <c r="E17" s="563"/>
      <c r="F17" s="563"/>
      <c r="G17" s="566">
        <f>Personnel!I39</f>
        <v>0</v>
      </c>
      <c r="H17" s="566">
        <f>Personnel!I40</f>
        <v>0</v>
      </c>
      <c r="I17" s="567">
        <f t="shared" si="0"/>
        <v>0</v>
      </c>
      <c r="J17" s="550">
        <f>Personnel!I41</f>
        <v>0</v>
      </c>
      <c r="L17" s="473">
        <v>6</v>
      </c>
      <c r="M17" s="683">
        <f t="shared" si="1"/>
        <v>0</v>
      </c>
      <c r="N17" s="560" t="str">
        <f t="shared" si="6"/>
        <v>Prof/Admin</v>
      </c>
      <c r="O17" s="564">
        <f>Personnel!O39</f>
        <v>0.1</v>
      </c>
      <c r="P17" s="563"/>
      <c r="Q17" s="563"/>
      <c r="R17" s="566">
        <f>Personnel!Q39</f>
        <v>0</v>
      </c>
      <c r="S17" s="566">
        <f>Personnel!Q40</f>
        <v>0</v>
      </c>
      <c r="T17" s="567">
        <f t="shared" si="2"/>
        <v>0</v>
      </c>
      <c r="U17" s="550">
        <f>Personnel!Q41</f>
        <v>0</v>
      </c>
      <c r="V17" s="775"/>
      <c r="W17" s="781">
        <v>6</v>
      </c>
      <c r="X17" s="782">
        <f t="shared" si="3"/>
        <v>0</v>
      </c>
      <c r="Y17" s="778" t="str">
        <f t="shared" si="4"/>
        <v>Prof/Admin</v>
      </c>
      <c r="Z17" s="784">
        <f>Personnel!W39</f>
        <v>0.1</v>
      </c>
      <c r="AA17" s="789"/>
      <c r="AB17" s="789"/>
      <c r="AC17" s="786">
        <f>Personnel!Y39</f>
        <v>0</v>
      </c>
      <c r="AD17" s="786">
        <f>Personnel!Y40</f>
        <v>0</v>
      </c>
      <c r="AE17" s="787">
        <f t="shared" si="5"/>
        <v>0</v>
      </c>
      <c r="AF17" s="788">
        <f>Personnel!Y41</f>
        <v>0</v>
      </c>
      <c r="AG17" s="775"/>
      <c r="AH17" s="781">
        <v>6</v>
      </c>
      <c r="AI17" s="782">
        <f t="shared" si="7"/>
        <v>0</v>
      </c>
      <c r="AJ17" s="778" t="str">
        <f t="shared" si="8"/>
        <v>Prof/Admin</v>
      </c>
      <c r="AK17" s="852"/>
      <c r="AL17" s="854"/>
      <c r="AM17" s="854"/>
      <c r="AN17" s="786">
        <f t="shared" si="9"/>
        <v>0</v>
      </c>
      <c r="AO17" s="786">
        <f t="shared" si="10"/>
        <v>0</v>
      </c>
      <c r="AP17" s="787">
        <f t="shared" si="11"/>
        <v>0</v>
      </c>
      <c r="AQ17" s="788">
        <f t="shared" si="12"/>
        <v>0</v>
      </c>
      <c r="AR17" s="859"/>
      <c r="AS17" s="859"/>
    </row>
    <row r="18" spans="1:45" s="268" customFormat="1" ht="15" customHeight="1" x14ac:dyDescent="0.25">
      <c r="A18" s="473">
        <v>7</v>
      </c>
      <c r="B18" s="562">
        <f>Personnel!C45</f>
        <v>0</v>
      </c>
      <c r="C18" s="560" t="str">
        <f>Personnel!C44</f>
        <v>Prof/Admin</v>
      </c>
      <c r="D18" s="564">
        <f>Personnel!G44</f>
        <v>0.25</v>
      </c>
      <c r="E18" s="563"/>
      <c r="F18" s="563"/>
      <c r="G18" s="566">
        <f>Personnel!I44</f>
        <v>0</v>
      </c>
      <c r="H18" s="566">
        <f>Personnel!I45</f>
        <v>0</v>
      </c>
      <c r="I18" s="567">
        <f t="shared" si="0"/>
        <v>0</v>
      </c>
      <c r="J18" s="550">
        <f>Personnel!I46</f>
        <v>0</v>
      </c>
      <c r="L18" s="473">
        <v>7</v>
      </c>
      <c r="M18" s="683">
        <f t="shared" si="1"/>
        <v>0</v>
      </c>
      <c r="N18" s="560" t="str">
        <f t="shared" si="6"/>
        <v>Prof/Admin</v>
      </c>
      <c r="O18" s="564">
        <f>Personnel!O44</f>
        <v>0.25</v>
      </c>
      <c r="P18" s="563"/>
      <c r="Q18" s="563"/>
      <c r="R18" s="566">
        <f>Personnel!Q44</f>
        <v>0</v>
      </c>
      <c r="S18" s="566">
        <f>Personnel!Q45</f>
        <v>0</v>
      </c>
      <c r="T18" s="567">
        <f t="shared" si="2"/>
        <v>0</v>
      </c>
      <c r="U18" s="550">
        <f>Personnel!Q46</f>
        <v>0</v>
      </c>
      <c r="V18" s="775"/>
      <c r="W18" s="781">
        <v>7</v>
      </c>
      <c r="X18" s="782">
        <f t="shared" si="3"/>
        <v>0</v>
      </c>
      <c r="Y18" s="778" t="str">
        <f t="shared" si="4"/>
        <v>Prof/Admin</v>
      </c>
      <c r="Z18" s="784">
        <f>Personnel!W44</f>
        <v>0.25</v>
      </c>
      <c r="AA18" s="789"/>
      <c r="AB18" s="789"/>
      <c r="AC18" s="786">
        <f>Personnel!Y44</f>
        <v>0</v>
      </c>
      <c r="AD18" s="786">
        <f>Personnel!Y45</f>
        <v>0</v>
      </c>
      <c r="AE18" s="787">
        <f t="shared" si="5"/>
        <v>0</v>
      </c>
      <c r="AF18" s="788">
        <f>Personnel!Y46</f>
        <v>0</v>
      </c>
      <c r="AG18" s="775"/>
      <c r="AH18" s="781">
        <v>7</v>
      </c>
      <c r="AI18" s="782">
        <f t="shared" si="7"/>
        <v>0</v>
      </c>
      <c r="AJ18" s="778" t="str">
        <f t="shared" si="8"/>
        <v>Prof/Admin</v>
      </c>
      <c r="AK18" s="852"/>
      <c r="AL18" s="854"/>
      <c r="AM18" s="854"/>
      <c r="AN18" s="786">
        <f t="shared" si="9"/>
        <v>0</v>
      </c>
      <c r="AO18" s="786">
        <f t="shared" si="10"/>
        <v>0</v>
      </c>
      <c r="AP18" s="787">
        <f t="shared" si="11"/>
        <v>0</v>
      </c>
      <c r="AQ18" s="788">
        <f t="shared" si="12"/>
        <v>0</v>
      </c>
      <c r="AR18" s="859"/>
      <c r="AS18" s="859"/>
    </row>
    <row r="19" spans="1:45" s="268" customFormat="1" ht="15" customHeight="1" x14ac:dyDescent="0.25">
      <c r="A19" s="473">
        <v>8</v>
      </c>
      <c r="B19" s="562">
        <f>Personnel!C50</f>
        <v>0</v>
      </c>
      <c r="C19" s="560" t="str">
        <f>Personnel!C49</f>
        <v>Prof/Admin</v>
      </c>
      <c r="D19" s="564">
        <f>Personnel!G49</f>
        <v>0.2</v>
      </c>
      <c r="E19" s="563"/>
      <c r="F19" s="563"/>
      <c r="G19" s="566">
        <f>Personnel!I49</f>
        <v>0</v>
      </c>
      <c r="H19" s="566">
        <f>Personnel!I50</f>
        <v>0</v>
      </c>
      <c r="I19" s="567">
        <f t="shared" si="0"/>
        <v>0</v>
      </c>
      <c r="J19" s="550">
        <f>Personnel!I51</f>
        <v>0</v>
      </c>
      <c r="L19" s="473">
        <v>8</v>
      </c>
      <c r="M19" s="683">
        <f t="shared" si="1"/>
        <v>0</v>
      </c>
      <c r="N19" s="560" t="str">
        <f t="shared" si="6"/>
        <v>Prof/Admin</v>
      </c>
      <c r="O19" s="564">
        <f>Personnel!O49</f>
        <v>0.2</v>
      </c>
      <c r="P19" s="563"/>
      <c r="Q19" s="563"/>
      <c r="R19" s="566">
        <f>Personnel!Q49</f>
        <v>0</v>
      </c>
      <c r="S19" s="566">
        <f>Personnel!Q50</f>
        <v>0</v>
      </c>
      <c r="T19" s="567">
        <f t="shared" si="2"/>
        <v>0</v>
      </c>
      <c r="U19" s="550">
        <f>Personnel!Q51</f>
        <v>0</v>
      </c>
      <c r="V19" s="775"/>
      <c r="W19" s="781">
        <v>8</v>
      </c>
      <c r="X19" s="782">
        <f t="shared" si="3"/>
        <v>0</v>
      </c>
      <c r="Y19" s="778" t="str">
        <f t="shared" si="4"/>
        <v>Prof/Admin</v>
      </c>
      <c r="Z19" s="784">
        <f>Personnel!W49</f>
        <v>0.2</v>
      </c>
      <c r="AA19" s="789"/>
      <c r="AB19" s="789"/>
      <c r="AC19" s="786">
        <f>Personnel!Y49</f>
        <v>0</v>
      </c>
      <c r="AD19" s="786">
        <f>Personnel!Y50</f>
        <v>0</v>
      </c>
      <c r="AE19" s="787">
        <f t="shared" si="5"/>
        <v>0</v>
      </c>
      <c r="AF19" s="788">
        <f>Personnel!Y51</f>
        <v>0</v>
      </c>
      <c r="AG19" s="775"/>
      <c r="AH19" s="781">
        <v>8</v>
      </c>
      <c r="AI19" s="782">
        <f t="shared" si="7"/>
        <v>0</v>
      </c>
      <c r="AJ19" s="778" t="str">
        <f t="shared" si="8"/>
        <v>Prof/Admin</v>
      </c>
      <c r="AK19" s="852"/>
      <c r="AL19" s="854"/>
      <c r="AM19" s="854"/>
      <c r="AN19" s="786">
        <f t="shared" si="9"/>
        <v>0</v>
      </c>
      <c r="AO19" s="786">
        <f t="shared" si="10"/>
        <v>0</v>
      </c>
      <c r="AP19" s="787">
        <f t="shared" si="11"/>
        <v>0</v>
      </c>
      <c r="AQ19" s="788">
        <f t="shared" si="12"/>
        <v>0</v>
      </c>
      <c r="AR19" s="859"/>
      <c r="AS19" s="859"/>
    </row>
    <row r="20" spans="1:45" s="268" customFormat="1" ht="15" customHeight="1" x14ac:dyDescent="0.25">
      <c r="A20" s="473">
        <v>9</v>
      </c>
      <c r="B20" s="562">
        <f>Personnel!C55</f>
        <v>0</v>
      </c>
      <c r="C20" s="560" t="str">
        <f>Personnel!C54</f>
        <v>Prof/Admin</v>
      </c>
      <c r="D20" s="564">
        <f>Personnel!G54</f>
        <v>1</v>
      </c>
      <c r="E20" s="563"/>
      <c r="F20" s="563"/>
      <c r="G20" s="566">
        <f>Personnel!I54</f>
        <v>0</v>
      </c>
      <c r="H20" s="566">
        <f>Personnel!I55</f>
        <v>0</v>
      </c>
      <c r="I20" s="567">
        <f t="shared" si="0"/>
        <v>0</v>
      </c>
      <c r="J20" s="550">
        <f>Personnel!I56</f>
        <v>0</v>
      </c>
      <c r="L20" s="473">
        <v>9</v>
      </c>
      <c r="M20" s="683">
        <f t="shared" si="1"/>
        <v>0</v>
      </c>
      <c r="N20" s="560" t="str">
        <f t="shared" si="6"/>
        <v>Prof/Admin</v>
      </c>
      <c r="O20" s="564">
        <f>Personnel!O54</f>
        <v>1</v>
      </c>
      <c r="P20" s="563"/>
      <c r="Q20" s="563"/>
      <c r="R20" s="566">
        <f>Personnel!Q54</f>
        <v>0</v>
      </c>
      <c r="S20" s="566">
        <f>Personnel!Q55</f>
        <v>0</v>
      </c>
      <c r="T20" s="567">
        <f t="shared" si="2"/>
        <v>0</v>
      </c>
      <c r="U20" s="550">
        <f>Personnel!Q56</f>
        <v>0</v>
      </c>
      <c r="V20" s="775"/>
      <c r="W20" s="781">
        <v>9</v>
      </c>
      <c r="X20" s="782">
        <f t="shared" si="3"/>
        <v>0</v>
      </c>
      <c r="Y20" s="778" t="str">
        <f t="shared" si="4"/>
        <v>Prof/Admin</v>
      </c>
      <c r="Z20" s="784">
        <f>Personnel!W54</f>
        <v>1</v>
      </c>
      <c r="AA20" s="789"/>
      <c r="AB20" s="789"/>
      <c r="AC20" s="786">
        <f>Personnel!Y54</f>
        <v>0</v>
      </c>
      <c r="AD20" s="786">
        <f>Personnel!Y55</f>
        <v>0</v>
      </c>
      <c r="AE20" s="787">
        <f t="shared" si="5"/>
        <v>0</v>
      </c>
      <c r="AF20" s="788">
        <f>Personnel!Y56</f>
        <v>0</v>
      </c>
      <c r="AG20" s="775"/>
      <c r="AH20" s="781">
        <v>9</v>
      </c>
      <c r="AI20" s="782">
        <f t="shared" si="7"/>
        <v>0</v>
      </c>
      <c r="AJ20" s="778" t="str">
        <f t="shared" si="8"/>
        <v>Prof/Admin</v>
      </c>
      <c r="AK20" s="852"/>
      <c r="AL20" s="854"/>
      <c r="AM20" s="854"/>
      <c r="AN20" s="786">
        <f>G20+R20+AC20</f>
        <v>0</v>
      </c>
      <c r="AO20" s="786">
        <f t="shared" si="10"/>
        <v>0</v>
      </c>
      <c r="AP20" s="787">
        <f t="shared" si="11"/>
        <v>0</v>
      </c>
      <c r="AQ20" s="788">
        <f t="shared" si="12"/>
        <v>0</v>
      </c>
      <c r="AR20" s="859"/>
      <c r="AS20" s="859"/>
    </row>
    <row r="21" spans="1:45" s="268" customFormat="1" ht="15" customHeight="1" x14ac:dyDescent="0.25">
      <c r="A21" s="473">
        <v>10</v>
      </c>
      <c r="B21" s="562">
        <f>Personnel!C60</f>
        <v>0</v>
      </c>
      <c r="C21" s="560" t="str">
        <f>Personnel!C59</f>
        <v>Post Doc</v>
      </c>
      <c r="D21" s="564">
        <f>Personnel!G59</f>
        <v>1</v>
      </c>
      <c r="E21" s="563"/>
      <c r="F21" s="563"/>
      <c r="G21" s="566">
        <f>Personnel!I59</f>
        <v>0</v>
      </c>
      <c r="H21" s="566">
        <f>Personnel!I60</f>
        <v>0</v>
      </c>
      <c r="I21" s="567">
        <f t="shared" si="0"/>
        <v>0</v>
      </c>
      <c r="J21" s="550">
        <f>Personnel!I61</f>
        <v>0</v>
      </c>
      <c r="L21" s="473">
        <v>10</v>
      </c>
      <c r="M21" s="683">
        <f t="shared" si="1"/>
        <v>0</v>
      </c>
      <c r="N21" s="560" t="str">
        <f t="shared" si="6"/>
        <v>Post Doc</v>
      </c>
      <c r="O21" s="564">
        <f>Personnel!O59</f>
        <v>1</v>
      </c>
      <c r="P21" s="563"/>
      <c r="Q21" s="563"/>
      <c r="R21" s="566">
        <f>Personnel!Q59</f>
        <v>0</v>
      </c>
      <c r="S21" s="566">
        <f>Personnel!Q60</f>
        <v>0</v>
      </c>
      <c r="T21" s="567">
        <f t="shared" si="2"/>
        <v>0</v>
      </c>
      <c r="U21" s="550">
        <f>Personnel!Q61</f>
        <v>0</v>
      </c>
      <c r="V21" s="775"/>
      <c r="W21" s="781">
        <v>10</v>
      </c>
      <c r="X21" s="782">
        <f t="shared" si="3"/>
        <v>0</v>
      </c>
      <c r="Y21" s="778" t="str">
        <f t="shared" si="4"/>
        <v>Post Doc</v>
      </c>
      <c r="Z21" s="784">
        <f>Personnel!W59</f>
        <v>1</v>
      </c>
      <c r="AA21" s="789"/>
      <c r="AB21" s="789"/>
      <c r="AC21" s="786">
        <f>Personnel!Y59</f>
        <v>0</v>
      </c>
      <c r="AD21" s="786">
        <f>Personnel!Y60</f>
        <v>0</v>
      </c>
      <c r="AE21" s="787">
        <f t="shared" si="5"/>
        <v>0</v>
      </c>
      <c r="AF21" s="788">
        <f>Personnel!Y61</f>
        <v>0</v>
      </c>
      <c r="AG21" s="775"/>
      <c r="AH21" s="781">
        <v>10</v>
      </c>
      <c r="AI21" s="782">
        <f t="shared" si="7"/>
        <v>0</v>
      </c>
      <c r="AJ21" s="778" t="str">
        <f t="shared" si="8"/>
        <v>Post Doc</v>
      </c>
      <c r="AK21" s="852"/>
      <c r="AL21" s="854"/>
      <c r="AM21" s="854"/>
      <c r="AN21" s="786">
        <f t="shared" si="9"/>
        <v>0</v>
      </c>
      <c r="AO21" s="786">
        <f t="shared" si="10"/>
        <v>0</v>
      </c>
      <c r="AP21" s="787">
        <f t="shared" si="11"/>
        <v>0</v>
      </c>
      <c r="AQ21" s="788">
        <f t="shared" si="12"/>
        <v>0</v>
      </c>
      <c r="AR21" s="859"/>
      <c r="AS21" s="859"/>
    </row>
    <row r="22" spans="1:45" s="268" customFormat="1" ht="15" customHeight="1" x14ac:dyDescent="0.25">
      <c r="A22" s="473">
        <v>11</v>
      </c>
      <c r="B22" s="562">
        <f>Personnel!C67</f>
        <v>0</v>
      </c>
      <c r="C22" s="560" t="s">
        <v>56</v>
      </c>
      <c r="D22" s="564">
        <f>Personnel!G66</f>
        <v>0</v>
      </c>
      <c r="E22" s="564">
        <f>Personnel!G67</f>
        <v>0</v>
      </c>
      <c r="F22" s="565" t="str">
        <f>Personnel!G68</f>
        <v>None</v>
      </c>
      <c r="G22" s="566">
        <f>Personnel!I68</f>
        <v>0</v>
      </c>
      <c r="H22" s="566">
        <f>Personnel!I69</f>
        <v>0</v>
      </c>
      <c r="I22" s="567">
        <f t="shared" si="0"/>
        <v>0</v>
      </c>
      <c r="J22" s="550">
        <f>Personnel!I71</f>
        <v>0</v>
      </c>
      <c r="L22" s="473">
        <v>11</v>
      </c>
      <c r="M22" s="683">
        <f>B22</f>
        <v>0</v>
      </c>
      <c r="N22" s="560" t="s">
        <v>56</v>
      </c>
      <c r="O22" s="564">
        <f>Personnel!O66</f>
        <v>0</v>
      </c>
      <c r="P22" s="564">
        <f>Personnel!O67</f>
        <v>0</v>
      </c>
      <c r="Q22" s="565" t="str">
        <f>Personnel!O68</f>
        <v>None</v>
      </c>
      <c r="R22" s="566">
        <f>Personnel!Q68</f>
        <v>0</v>
      </c>
      <c r="S22" s="566">
        <f>Personnel!Q69</f>
        <v>0</v>
      </c>
      <c r="T22" s="567">
        <f t="shared" si="2"/>
        <v>0</v>
      </c>
      <c r="U22" s="550">
        <f>Personnel!Q71</f>
        <v>0</v>
      </c>
      <c r="V22" s="775"/>
      <c r="W22" s="781">
        <v>11</v>
      </c>
      <c r="X22" s="782">
        <f>M22</f>
        <v>0</v>
      </c>
      <c r="Y22" s="778" t="s">
        <v>56</v>
      </c>
      <c r="Z22" s="784">
        <f>Personnel!W66</f>
        <v>0</v>
      </c>
      <c r="AA22" s="784">
        <f>Personnel!W67</f>
        <v>0</v>
      </c>
      <c r="AB22" s="779" t="str">
        <f>Personnel!W68</f>
        <v>None</v>
      </c>
      <c r="AC22" s="786">
        <f>Personnel!Y68</f>
        <v>0</v>
      </c>
      <c r="AD22" s="786">
        <f>Personnel!Y69</f>
        <v>0</v>
      </c>
      <c r="AE22" s="787">
        <f t="shared" si="5"/>
        <v>0</v>
      </c>
      <c r="AF22" s="788">
        <f>Personnel!Y71</f>
        <v>0</v>
      </c>
      <c r="AG22" s="775"/>
      <c r="AH22" s="781">
        <v>11</v>
      </c>
      <c r="AI22" s="782">
        <f>X22</f>
        <v>0</v>
      </c>
      <c r="AJ22" s="778" t="s">
        <v>56</v>
      </c>
      <c r="AK22" s="852"/>
      <c r="AL22" s="852"/>
      <c r="AM22" s="854"/>
      <c r="AN22" s="786">
        <f t="shared" si="9"/>
        <v>0</v>
      </c>
      <c r="AO22" s="786">
        <f t="shared" si="10"/>
        <v>0</v>
      </c>
      <c r="AP22" s="787">
        <f t="shared" si="11"/>
        <v>0</v>
      </c>
      <c r="AQ22" s="788">
        <f t="shared" si="12"/>
        <v>0</v>
      </c>
      <c r="AR22" s="859"/>
      <c r="AS22" s="859"/>
    </row>
    <row r="23" spans="1:45" s="268" customFormat="1" ht="15" customHeight="1" x14ac:dyDescent="0.25">
      <c r="A23" s="473">
        <v>12</v>
      </c>
      <c r="B23" s="562">
        <f>Personnel!C75</f>
        <v>0</v>
      </c>
      <c r="C23" s="560" t="s">
        <v>56</v>
      </c>
      <c r="D23" s="564">
        <f>Personnel!G74</f>
        <v>0</v>
      </c>
      <c r="E23" s="564">
        <f>Personnel!G75</f>
        <v>0</v>
      </c>
      <c r="F23" s="565" t="str">
        <f>Personnel!G76</f>
        <v>None</v>
      </c>
      <c r="G23" s="566">
        <f>Personnel!I76</f>
        <v>0</v>
      </c>
      <c r="H23" s="566">
        <f>Personnel!I77</f>
        <v>0</v>
      </c>
      <c r="I23" s="567">
        <f t="shared" si="0"/>
        <v>0</v>
      </c>
      <c r="J23" s="550">
        <f>Personnel!I79</f>
        <v>0</v>
      </c>
      <c r="L23" s="473">
        <v>12</v>
      </c>
      <c r="M23" s="683">
        <f>B23</f>
        <v>0</v>
      </c>
      <c r="N23" s="560" t="s">
        <v>56</v>
      </c>
      <c r="O23" s="564">
        <f>Personnel!O74</f>
        <v>0</v>
      </c>
      <c r="P23" s="564">
        <f>Personnel!O75</f>
        <v>0</v>
      </c>
      <c r="Q23" s="565" t="str">
        <f>Personnel!O76</f>
        <v>None</v>
      </c>
      <c r="R23" s="566">
        <f>Personnel!Q76</f>
        <v>0</v>
      </c>
      <c r="S23" s="566">
        <f>Personnel!Q77</f>
        <v>0</v>
      </c>
      <c r="T23" s="567">
        <f t="shared" si="2"/>
        <v>0</v>
      </c>
      <c r="U23" s="550">
        <f>Personnel!Q79</f>
        <v>0</v>
      </c>
      <c r="V23" s="775"/>
      <c r="W23" s="781">
        <v>12</v>
      </c>
      <c r="X23" s="782">
        <f>M23</f>
        <v>0</v>
      </c>
      <c r="Y23" s="778" t="s">
        <v>56</v>
      </c>
      <c r="Z23" s="784">
        <f>Personnel!W74</f>
        <v>0</v>
      </c>
      <c r="AA23" s="784">
        <f>Personnel!W75</f>
        <v>0</v>
      </c>
      <c r="AB23" s="779" t="str">
        <f>Personnel!W76</f>
        <v>None</v>
      </c>
      <c r="AC23" s="786">
        <f>Personnel!Y76</f>
        <v>0</v>
      </c>
      <c r="AD23" s="786">
        <f>Personnel!Y77</f>
        <v>0</v>
      </c>
      <c r="AE23" s="787">
        <f t="shared" si="5"/>
        <v>0</v>
      </c>
      <c r="AF23" s="788">
        <f>Personnel!Y79</f>
        <v>0</v>
      </c>
      <c r="AG23" s="775"/>
      <c r="AH23" s="781">
        <v>12</v>
      </c>
      <c r="AI23" s="782">
        <f>X23</f>
        <v>0</v>
      </c>
      <c r="AJ23" s="778" t="s">
        <v>56</v>
      </c>
      <c r="AK23" s="852"/>
      <c r="AL23" s="852"/>
      <c r="AM23" s="854"/>
      <c r="AN23" s="786">
        <f>G23+R23+AC23</f>
        <v>0</v>
      </c>
      <c r="AO23" s="786">
        <f t="shared" si="10"/>
        <v>0</v>
      </c>
      <c r="AP23" s="787">
        <f t="shared" si="11"/>
        <v>0</v>
      </c>
      <c r="AQ23" s="788">
        <f t="shared" si="12"/>
        <v>0</v>
      </c>
      <c r="AR23" s="859"/>
      <c r="AS23" s="859"/>
    </row>
    <row r="24" spans="1:45" s="268" customFormat="1" ht="15" customHeight="1" x14ac:dyDescent="0.25">
      <c r="A24" s="473">
        <v>13</v>
      </c>
      <c r="B24" s="562">
        <f>Personnel!C83</f>
        <v>0</v>
      </c>
      <c r="C24" s="560" t="s">
        <v>56</v>
      </c>
      <c r="D24" s="564">
        <f>Personnel!G82</f>
        <v>0</v>
      </c>
      <c r="E24" s="564">
        <f>Personnel!G83</f>
        <v>0</v>
      </c>
      <c r="F24" s="565" t="str">
        <f>Personnel!G84</f>
        <v>None</v>
      </c>
      <c r="G24" s="566">
        <f>Personnel!I84</f>
        <v>0</v>
      </c>
      <c r="H24" s="566">
        <f>Personnel!I85</f>
        <v>0</v>
      </c>
      <c r="I24" s="567">
        <f t="shared" si="0"/>
        <v>0</v>
      </c>
      <c r="J24" s="550">
        <f>Personnel!I87</f>
        <v>0</v>
      </c>
      <c r="L24" s="473">
        <v>13</v>
      </c>
      <c r="M24" s="683">
        <f>B24</f>
        <v>0</v>
      </c>
      <c r="N24" s="560" t="s">
        <v>56</v>
      </c>
      <c r="O24" s="564">
        <f>Personnel!O82</f>
        <v>0</v>
      </c>
      <c r="P24" s="564">
        <f>Personnel!O83</f>
        <v>0</v>
      </c>
      <c r="Q24" s="565" t="str">
        <f>Personnel!O84</f>
        <v>None</v>
      </c>
      <c r="R24" s="566">
        <f>Personnel!Q84</f>
        <v>0</v>
      </c>
      <c r="S24" s="566">
        <f>Personnel!Q85</f>
        <v>0</v>
      </c>
      <c r="T24" s="567">
        <f t="shared" si="2"/>
        <v>0</v>
      </c>
      <c r="U24" s="550">
        <f>Personnel!Q87</f>
        <v>0</v>
      </c>
      <c r="V24" s="775"/>
      <c r="W24" s="781">
        <v>13</v>
      </c>
      <c r="X24" s="782">
        <f>M24</f>
        <v>0</v>
      </c>
      <c r="Y24" s="778" t="s">
        <v>56</v>
      </c>
      <c r="Z24" s="784">
        <f>Personnel!W82</f>
        <v>0</v>
      </c>
      <c r="AA24" s="784">
        <f>Personnel!W83</f>
        <v>0</v>
      </c>
      <c r="AB24" s="779" t="str">
        <f>Personnel!W84</f>
        <v>None</v>
      </c>
      <c r="AC24" s="786">
        <f>Personnel!Y84</f>
        <v>0</v>
      </c>
      <c r="AD24" s="786">
        <f>Personnel!Y85</f>
        <v>0</v>
      </c>
      <c r="AE24" s="787">
        <f t="shared" si="5"/>
        <v>0</v>
      </c>
      <c r="AF24" s="788">
        <f>Personnel!Y87</f>
        <v>0</v>
      </c>
      <c r="AG24" s="775"/>
      <c r="AH24" s="781">
        <v>13</v>
      </c>
      <c r="AI24" s="782">
        <f>X24</f>
        <v>0</v>
      </c>
      <c r="AJ24" s="778" t="s">
        <v>56</v>
      </c>
      <c r="AK24" s="852"/>
      <c r="AL24" s="852"/>
      <c r="AM24" s="854"/>
      <c r="AN24" s="786">
        <f t="shared" si="9"/>
        <v>0</v>
      </c>
      <c r="AO24" s="786">
        <f t="shared" si="10"/>
        <v>0</v>
      </c>
      <c r="AP24" s="787">
        <f t="shared" si="11"/>
        <v>0</v>
      </c>
      <c r="AQ24" s="788">
        <f t="shared" si="12"/>
        <v>0</v>
      </c>
      <c r="AR24" s="859"/>
      <c r="AS24" s="859"/>
    </row>
    <row r="25" spans="1:45" s="268" customFormat="1" ht="15" customHeight="1" x14ac:dyDescent="0.25">
      <c r="A25" s="473">
        <v>14</v>
      </c>
      <c r="B25" s="562">
        <f>Personnel!C91</f>
        <v>0</v>
      </c>
      <c r="C25" s="560" t="s">
        <v>56</v>
      </c>
      <c r="D25" s="564">
        <f>Personnel!G90</f>
        <v>0</v>
      </c>
      <c r="E25" s="564">
        <f>Personnel!G91</f>
        <v>0</v>
      </c>
      <c r="F25" s="565" t="str">
        <f>Personnel!G92</f>
        <v>None</v>
      </c>
      <c r="G25" s="566">
        <f>Personnel!I92</f>
        <v>0</v>
      </c>
      <c r="H25" s="566">
        <f>Personnel!I93</f>
        <v>0</v>
      </c>
      <c r="I25" s="567">
        <f t="shared" si="0"/>
        <v>0</v>
      </c>
      <c r="J25" s="550">
        <f>Personnel!I95</f>
        <v>0</v>
      </c>
      <c r="L25" s="473">
        <v>14</v>
      </c>
      <c r="M25" s="683">
        <f>B25</f>
        <v>0</v>
      </c>
      <c r="N25" s="560" t="s">
        <v>56</v>
      </c>
      <c r="O25" s="564">
        <f>Personnel!O90</f>
        <v>0</v>
      </c>
      <c r="P25" s="564">
        <f>Personnel!O91</f>
        <v>0</v>
      </c>
      <c r="Q25" s="565" t="str">
        <f>Personnel!O92</f>
        <v>None</v>
      </c>
      <c r="R25" s="566">
        <f>Personnel!Q92</f>
        <v>0</v>
      </c>
      <c r="S25" s="566">
        <f>Personnel!Q93</f>
        <v>0</v>
      </c>
      <c r="T25" s="567">
        <f t="shared" si="2"/>
        <v>0</v>
      </c>
      <c r="U25" s="550">
        <f>Personnel!Q95</f>
        <v>0</v>
      </c>
      <c r="V25" s="775"/>
      <c r="W25" s="781">
        <v>14</v>
      </c>
      <c r="X25" s="782">
        <f>M25</f>
        <v>0</v>
      </c>
      <c r="Y25" s="778" t="s">
        <v>56</v>
      </c>
      <c r="Z25" s="784">
        <f>Personnel!W90</f>
        <v>0</v>
      </c>
      <c r="AA25" s="784">
        <f>Personnel!W91</f>
        <v>0</v>
      </c>
      <c r="AB25" s="779" t="str">
        <f>Personnel!W92</f>
        <v>None</v>
      </c>
      <c r="AC25" s="786">
        <f>Personnel!Y92</f>
        <v>0</v>
      </c>
      <c r="AD25" s="786">
        <f>Personnel!Y93</f>
        <v>0</v>
      </c>
      <c r="AE25" s="787">
        <f t="shared" si="5"/>
        <v>0</v>
      </c>
      <c r="AF25" s="788">
        <f>Personnel!Y95</f>
        <v>0</v>
      </c>
      <c r="AG25" s="775"/>
      <c r="AH25" s="781">
        <v>14</v>
      </c>
      <c r="AI25" s="782">
        <f>X25</f>
        <v>0</v>
      </c>
      <c r="AJ25" s="778" t="s">
        <v>56</v>
      </c>
      <c r="AK25" s="852"/>
      <c r="AL25" s="852"/>
      <c r="AM25" s="854"/>
      <c r="AN25" s="786">
        <f t="shared" si="9"/>
        <v>0</v>
      </c>
      <c r="AO25" s="786">
        <f t="shared" si="10"/>
        <v>0</v>
      </c>
      <c r="AP25" s="787">
        <f t="shared" si="11"/>
        <v>0</v>
      </c>
      <c r="AQ25" s="788">
        <f t="shared" si="12"/>
        <v>0</v>
      </c>
      <c r="AR25" s="859"/>
      <c r="AS25" s="859"/>
    </row>
    <row r="26" spans="1:45" s="268" customFormat="1" ht="15" customHeight="1" x14ac:dyDescent="0.25">
      <c r="A26" s="473">
        <v>15</v>
      </c>
      <c r="B26" s="562">
        <f>Personnel!C99</f>
        <v>0</v>
      </c>
      <c r="C26" s="568" t="s">
        <v>56</v>
      </c>
      <c r="D26" s="569">
        <f>Personnel!G98</f>
        <v>0</v>
      </c>
      <c r="E26" s="569">
        <f>Personnel!G99</f>
        <v>0</v>
      </c>
      <c r="F26" s="570" t="str">
        <f>Personnel!G100</f>
        <v>None</v>
      </c>
      <c r="G26" s="566">
        <f>Personnel!I100</f>
        <v>0</v>
      </c>
      <c r="H26" s="566">
        <f>Personnel!I101</f>
        <v>0</v>
      </c>
      <c r="I26" s="567">
        <f t="shared" si="0"/>
        <v>0</v>
      </c>
      <c r="J26" s="550">
        <f>Personnel!I103</f>
        <v>0</v>
      </c>
      <c r="L26" s="473">
        <v>15</v>
      </c>
      <c r="M26" s="683">
        <f>B26</f>
        <v>0</v>
      </c>
      <c r="N26" s="568" t="s">
        <v>56</v>
      </c>
      <c r="O26" s="569">
        <f>Personnel!O98</f>
        <v>0</v>
      </c>
      <c r="P26" s="569">
        <f>Personnel!O99</f>
        <v>0</v>
      </c>
      <c r="Q26" s="570" t="str">
        <f>Personnel!O100</f>
        <v>None</v>
      </c>
      <c r="R26" s="566">
        <f>Personnel!Q100</f>
        <v>0</v>
      </c>
      <c r="S26" s="566">
        <f>Personnel!Q101</f>
        <v>0</v>
      </c>
      <c r="T26" s="567">
        <f t="shared" si="2"/>
        <v>0</v>
      </c>
      <c r="U26" s="550">
        <f>Personnel!Q103</f>
        <v>0</v>
      </c>
      <c r="V26" s="775"/>
      <c r="W26" s="781">
        <v>15</v>
      </c>
      <c r="X26" s="782">
        <f>M26</f>
        <v>0</v>
      </c>
      <c r="Y26" s="790" t="s">
        <v>56</v>
      </c>
      <c r="Z26" s="791">
        <f>Personnel!W98</f>
        <v>0</v>
      </c>
      <c r="AA26" s="791">
        <f>Personnel!W99</f>
        <v>0</v>
      </c>
      <c r="AB26" s="792" t="str">
        <f>Personnel!W100</f>
        <v>None</v>
      </c>
      <c r="AC26" s="786">
        <f>Personnel!Y100</f>
        <v>0</v>
      </c>
      <c r="AD26" s="786">
        <f>Personnel!Y101</f>
        <v>0</v>
      </c>
      <c r="AE26" s="787">
        <f t="shared" si="5"/>
        <v>0</v>
      </c>
      <c r="AF26" s="788">
        <f>Personnel!Y103</f>
        <v>0</v>
      </c>
      <c r="AG26" s="775"/>
      <c r="AH26" s="781">
        <v>15</v>
      </c>
      <c r="AI26" s="782">
        <f>X26</f>
        <v>0</v>
      </c>
      <c r="AJ26" s="790" t="s">
        <v>56</v>
      </c>
      <c r="AK26" s="855"/>
      <c r="AL26" s="855"/>
      <c r="AM26" s="856"/>
      <c r="AN26" s="786">
        <f t="shared" si="9"/>
        <v>0</v>
      </c>
      <c r="AO26" s="786">
        <f t="shared" si="10"/>
        <v>0</v>
      </c>
      <c r="AP26" s="787">
        <f t="shared" si="11"/>
        <v>0</v>
      </c>
      <c r="AQ26" s="788">
        <f t="shared" si="12"/>
        <v>0</v>
      </c>
      <c r="AR26" s="859"/>
      <c r="AS26" s="859"/>
    </row>
    <row r="27" spans="1:45" s="268" customFormat="1" ht="15" customHeight="1" x14ac:dyDescent="0.25">
      <c r="A27" s="473">
        <v>16</v>
      </c>
      <c r="B27" s="571" t="s">
        <v>534</v>
      </c>
      <c r="C27" s="572">
        <f>Personnel!D106</f>
        <v>0</v>
      </c>
      <c r="D27" s="582" t="s">
        <v>517</v>
      </c>
      <c r="E27" s="583" t="s">
        <v>516</v>
      </c>
      <c r="F27" s="573">
        <f>Personnel!F107</f>
        <v>0</v>
      </c>
      <c r="G27" s="574">
        <f>Personnel!I106</f>
        <v>0</v>
      </c>
      <c r="H27" s="566">
        <f>Personnel!I107</f>
        <v>0</v>
      </c>
      <c r="I27" s="567">
        <f t="shared" si="0"/>
        <v>0</v>
      </c>
      <c r="J27" s="550">
        <f>Personnel!I108</f>
        <v>0</v>
      </c>
      <c r="L27" s="473">
        <v>16</v>
      </c>
      <c r="M27" s="684" t="s">
        <v>534</v>
      </c>
      <c r="N27" s="572">
        <f>Personnel!M106</f>
        <v>0</v>
      </c>
      <c r="O27" s="582" t="s">
        <v>517</v>
      </c>
      <c r="P27" s="583" t="s">
        <v>516</v>
      </c>
      <c r="Q27" s="573">
        <f>Personnel!O107</f>
        <v>0</v>
      </c>
      <c r="R27" s="574">
        <f>Personnel!Q106</f>
        <v>0</v>
      </c>
      <c r="S27" s="566">
        <f>Personnel!Q107</f>
        <v>0</v>
      </c>
      <c r="T27" s="567">
        <f t="shared" si="2"/>
        <v>0</v>
      </c>
      <c r="U27" s="550">
        <f>Personnel!Q108</f>
        <v>0</v>
      </c>
      <c r="V27" s="775"/>
      <c r="W27" s="781">
        <v>16</v>
      </c>
      <c r="X27" s="793" t="s">
        <v>534</v>
      </c>
      <c r="Y27" s="794">
        <f>Personnel!U106</f>
        <v>0</v>
      </c>
      <c r="Z27" s="795" t="s">
        <v>517</v>
      </c>
      <c r="AA27" s="796" t="s">
        <v>516</v>
      </c>
      <c r="AB27" s="797">
        <f>Personnel!W107</f>
        <v>0</v>
      </c>
      <c r="AC27" s="798">
        <f>Personnel!Y106</f>
        <v>0</v>
      </c>
      <c r="AD27" s="786">
        <f>Personnel!Y107</f>
        <v>0</v>
      </c>
      <c r="AE27" s="787">
        <f t="shared" si="5"/>
        <v>0</v>
      </c>
      <c r="AF27" s="788">
        <f>Personnel!Y108</f>
        <v>0</v>
      </c>
      <c r="AG27" s="775"/>
      <c r="AH27" s="781">
        <v>16</v>
      </c>
      <c r="AI27" s="793" t="s">
        <v>534</v>
      </c>
      <c r="AJ27" s="794">
        <f>C27+N27+Y27</f>
        <v>0</v>
      </c>
      <c r="AK27" s="795" t="s">
        <v>517</v>
      </c>
      <c r="AL27" s="858"/>
      <c r="AM27" s="857"/>
      <c r="AN27" s="786">
        <f t="shared" si="9"/>
        <v>0</v>
      </c>
      <c r="AO27" s="786">
        <f t="shared" si="10"/>
        <v>0</v>
      </c>
      <c r="AP27" s="787">
        <f t="shared" si="11"/>
        <v>0</v>
      </c>
      <c r="AQ27" s="788">
        <f t="shared" si="12"/>
        <v>0</v>
      </c>
      <c r="AR27" s="859"/>
      <c r="AS27" s="859"/>
    </row>
    <row r="28" spans="1:45" s="268" customFormat="1" ht="15" customHeight="1" x14ac:dyDescent="0.25">
      <c r="A28" s="473">
        <v>17</v>
      </c>
      <c r="B28" s="571" t="s">
        <v>534</v>
      </c>
      <c r="C28" s="572">
        <f>Personnel!D110</f>
        <v>0</v>
      </c>
      <c r="D28" s="582" t="s">
        <v>517</v>
      </c>
      <c r="E28" s="583" t="s">
        <v>516</v>
      </c>
      <c r="F28" s="573">
        <f>Personnel!F111</f>
        <v>0</v>
      </c>
      <c r="G28" s="574">
        <f>Personnel!I110</f>
        <v>0</v>
      </c>
      <c r="H28" s="566">
        <f>Personnel!I111</f>
        <v>0</v>
      </c>
      <c r="I28" s="567">
        <f t="shared" si="0"/>
        <v>0</v>
      </c>
      <c r="J28" s="550">
        <f>Personnel!I112</f>
        <v>0</v>
      </c>
      <c r="L28" s="473">
        <v>17</v>
      </c>
      <c r="M28" s="684" t="s">
        <v>534</v>
      </c>
      <c r="N28" s="572">
        <f>Personnel!M110</f>
        <v>0</v>
      </c>
      <c r="O28" s="582" t="s">
        <v>517</v>
      </c>
      <c r="P28" s="583" t="s">
        <v>516</v>
      </c>
      <c r="Q28" s="573">
        <f>Personnel!O111</f>
        <v>0</v>
      </c>
      <c r="R28" s="574">
        <f>Personnel!Q110</f>
        <v>0</v>
      </c>
      <c r="S28" s="566">
        <f>Personnel!Q111</f>
        <v>0</v>
      </c>
      <c r="T28" s="567">
        <f t="shared" si="2"/>
        <v>0</v>
      </c>
      <c r="U28" s="550">
        <f>Personnel!Q112</f>
        <v>0</v>
      </c>
      <c r="V28" s="775"/>
      <c r="W28" s="781">
        <v>17</v>
      </c>
      <c r="X28" s="793" t="s">
        <v>534</v>
      </c>
      <c r="Y28" s="794">
        <f>Personnel!U110</f>
        <v>0</v>
      </c>
      <c r="Z28" s="795" t="s">
        <v>517</v>
      </c>
      <c r="AA28" s="796" t="s">
        <v>516</v>
      </c>
      <c r="AB28" s="797">
        <f>Personnel!W111</f>
        <v>0</v>
      </c>
      <c r="AC28" s="798">
        <f>Personnel!Y110</f>
        <v>0</v>
      </c>
      <c r="AD28" s="786">
        <f>Personnel!Y111</f>
        <v>0</v>
      </c>
      <c r="AE28" s="787">
        <f t="shared" si="5"/>
        <v>0</v>
      </c>
      <c r="AF28" s="788">
        <f>Personnel!Y112</f>
        <v>0</v>
      </c>
      <c r="AG28" s="775"/>
      <c r="AH28" s="781">
        <v>17</v>
      </c>
      <c r="AI28" s="793" t="s">
        <v>534</v>
      </c>
      <c r="AJ28" s="794">
        <f>C28+N28+Y28</f>
        <v>0</v>
      </c>
      <c r="AK28" s="795" t="s">
        <v>517</v>
      </c>
      <c r="AL28" s="858"/>
      <c r="AM28" s="857"/>
      <c r="AN28" s="786">
        <f>G28+R28+AC28</f>
        <v>0</v>
      </c>
      <c r="AO28" s="786">
        <f t="shared" si="10"/>
        <v>0</v>
      </c>
      <c r="AP28" s="787">
        <f t="shared" si="11"/>
        <v>0</v>
      </c>
      <c r="AQ28" s="788">
        <f t="shared" si="12"/>
        <v>0</v>
      </c>
      <c r="AR28" s="859"/>
      <c r="AS28" s="859"/>
    </row>
    <row r="29" spans="1:45" s="268" customFormat="1" ht="15" customHeight="1" x14ac:dyDescent="0.25">
      <c r="A29" s="473">
        <v>18</v>
      </c>
      <c r="B29" s="571" t="s">
        <v>534</v>
      </c>
      <c r="C29" s="572">
        <f>Personnel!D114</f>
        <v>0</v>
      </c>
      <c r="D29" s="582" t="s">
        <v>517</v>
      </c>
      <c r="E29" s="583" t="s">
        <v>516</v>
      </c>
      <c r="F29" s="573">
        <f>Personnel!F115</f>
        <v>0</v>
      </c>
      <c r="G29" s="574">
        <f>Personnel!I114</f>
        <v>0</v>
      </c>
      <c r="H29" s="566">
        <f>Personnel!I115</f>
        <v>0</v>
      </c>
      <c r="I29" s="567">
        <f t="shared" si="0"/>
        <v>0</v>
      </c>
      <c r="J29" s="550">
        <f>Personnel!I116</f>
        <v>0</v>
      </c>
      <c r="L29" s="473">
        <v>18</v>
      </c>
      <c r="M29" s="684" t="s">
        <v>534</v>
      </c>
      <c r="N29" s="572">
        <f>Personnel!M114</f>
        <v>0</v>
      </c>
      <c r="O29" s="582" t="s">
        <v>517</v>
      </c>
      <c r="P29" s="583" t="s">
        <v>516</v>
      </c>
      <c r="Q29" s="573">
        <f>Personnel!O115</f>
        <v>0</v>
      </c>
      <c r="R29" s="574">
        <f>Personnel!Q114</f>
        <v>0</v>
      </c>
      <c r="S29" s="566">
        <f>Personnel!Q115</f>
        <v>0</v>
      </c>
      <c r="T29" s="567">
        <f t="shared" si="2"/>
        <v>0</v>
      </c>
      <c r="U29" s="550">
        <f>Personnel!Q116</f>
        <v>0</v>
      </c>
      <c r="V29" s="775"/>
      <c r="W29" s="781">
        <v>18</v>
      </c>
      <c r="X29" s="793" t="s">
        <v>534</v>
      </c>
      <c r="Y29" s="794">
        <f>Personnel!U114</f>
        <v>0</v>
      </c>
      <c r="Z29" s="795" t="s">
        <v>517</v>
      </c>
      <c r="AA29" s="796" t="s">
        <v>516</v>
      </c>
      <c r="AB29" s="797">
        <f>Personnel!W115</f>
        <v>0</v>
      </c>
      <c r="AC29" s="798">
        <f>Personnel!Y114</f>
        <v>0</v>
      </c>
      <c r="AD29" s="786">
        <f>Personnel!Y115</f>
        <v>0</v>
      </c>
      <c r="AE29" s="787">
        <f t="shared" si="5"/>
        <v>0</v>
      </c>
      <c r="AF29" s="788">
        <f>Personnel!Y116</f>
        <v>0</v>
      </c>
      <c r="AG29" s="775"/>
      <c r="AH29" s="781">
        <v>18</v>
      </c>
      <c r="AI29" s="793" t="s">
        <v>534</v>
      </c>
      <c r="AJ29" s="794">
        <f>C29+N29+Y29</f>
        <v>0</v>
      </c>
      <c r="AK29" s="795" t="s">
        <v>517</v>
      </c>
      <c r="AL29" s="858"/>
      <c r="AM29" s="857"/>
      <c r="AN29" s="786">
        <f t="shared" si="9"/>
        <v>0</v>
      </c>
      <c r="AO29" s="786">
        <f t="shared" si="10"/>
        <v>0</v>
      </c>
      <c r="AP29" s="787">
        <f t="shared" si="11"/>
        <v>0</v>
      </c>
      <c r="AQ29" s="788">
        <f t="shared" si="12"/>
        <v>0</v>
      </c>
      <c r="AR29" s="859"/>
      <c r="AS29" s="859"/>
    </row>
    <row r="30" spans="1:45" s="268" customFormat="1" ht="15" customHeight="1" x14ac:dyDescent="0.25">
      <c r="A30" s="559"/>
      <c r="B30" s="1153" t="s">
        <v>229</v>
      </c>
      <c r="C30" s="1153"/>
      <c r="D30" s="1153"/>
      <c r="E30" s="1153"/>
      <c r="F30" s="1153"/>
      <c r="G30" s="1153"/>
      <c r="H30" s="1161">
        <f>SUM(G12:G29)</f>
        <v>0</v>
      </c>
      <c r="I30" s="1155"/>
      <c r="J30" s="551"/>
      <c r="L30" s="559"/>
      <c r="M30" s="1153" t="s">
        <v>229</v>
      </c>
      <c r="N30" s="1153"/>
      <c r="O30" s="1153"/>
      <c r="P30" s="1153"/>
      <c r="Q30" s="1153"/>
      <c r="R30" s="1153"/>
      <c r="S30" s="1161">
        <f>SUM(R12:R29)</f>
        <v>0</v>
      </c>
      <c r="T30" s="1155"/>
      <c r="U30" s="551"/>
      <c r="V30" s="775"/>
      <c r="W30" s="777"/>
      <c r="X30" s="1081" t="s">
        <v>229</v>
      </c>
      <c r="Y30" s="1081"/>
      <c r="Z30" s="1081"/>
      <c r="AA30" s="1081"/>
      <c r="AB30" s="1081"/>
      <c r="AC30" s="1081"/>
      <c r="AD30" s="1082">
        <f>SUM(AC12:AC29)</f>
        <v>0</v>
      </c>
      <c r="AE30" s="1083"/>
      <c r="AF30" s="799"/>
      <c r="AG30" s="775"/>
      <c r="AH30" s="777"/>
      <c r="AI30" s="1081" t="s">
        <v>229</v>
      </c>
      <c r="AJ30" s="1081"/>
      <c r="AK30" s="1081"/>
      <c r="AL30" s="1081"/>
      <c r="AM30" s="1081"/>
      <c r="AN30" s="1081"/>
      <c r="AO30" s="1082">
        <f>SUM(AN12:AN29)</f>
        <v>0</v>
      </c>
      <c r="AP30" s="1083"/>
      <c r="AQ30" s="788"/>
      <c r="AR30" s="859"/>
      <c r="AS30" s="859"/>
    </row>
    <row r="31" spans="1:45" s="268" customFormat="1" ht="15" customHeight="1" x14ac:dyDescent="0.25">
      <c r="A31" s="559"/>
      <c r="B31" s="1153" t="s">
        <v>230</v>
      </c>
      <c r="C31" s="1153"/>
      <c r="D31" s="1153"/>
      <c r="E31" s="1153"/>
      <c r="F31" s="1153"/>
      <c r="G31" s="1153"/>
      <c r="H31" s="1161">
        <f>SUM(H12:H29)</f>
        <v>0</v>
      </c>
      <c r="I31" s="1155"/>
      <c r="J31" s="551"/>
      <c r="L31" s="559"/>
      <c r="M31" s="1153" t="s">
        <v>230</v>
      </c>
      <c r="N31" s="1153"/>
      <c r="O31" s="1153"/>
      <c r="P31" s="1153"/>
      <c r="Q31" s="1153"/>
      <c r="R31" s="1153"/>
      <c r="S31" s="1161">
        <f>SUM(S12:S29)</f>
        <v>0</v>
      </c>
      <c r="T31" s="1155"/>
      <c r="U31" s="551"/>
      <c r="V31" s="775"/>
      <c r="W31" s="777"/>
      <c r="X31" s="1081" t="s">
        <v>230</v>
      </c>
      <c r="Y31" s="1081"/>
      <c r="Z31" s="1081"/>
      <c r="AA31" s="1081"/>
      <c r="AB31" s="1081"/>
      <c r="AC31" s="1081"/>
      <c r="AD31" s="1082">
        <f>SUM(AD12:AD29)</f>
        <v>0</v>
      </c>
      <c r="AE31" s="1083"/>
      <c r="AF31" s="799"/>
      <c r="AG31" s="775"/>
      <c r="AH31" s="777"/>
      <c r="AI31" s="1081" t="s">
        <v>230</v>
      </c>
      <c r="AJ31" s="1081"/>
      <c r="AK31" s="1081"/>
      <c r="AL31" s="1081"/>
      <c r="AM31" s="1081"/>
      <c r="AN31" s="1081"/>
      <c r="AO31" s="1082">
        <f>SUM(AO12:AO29)</f>
        <v>0</v>
      </c>
      <c r="AP31" s="1083"/>
      <c r="AQ31" s="788"/>
      <c r="AR31" s="859"/>
      <c r="AS31" s="859"/>
    </row>
    <row r="32" spans="1:45" s="269" customFormat="1" ht="15" customHeight="1" x14ac:dyDescent="0.25">
      <c r="A32" s="1156" t="s">
        <v>533</v>
      </c>
      <c r="B32" s="1157"/>
      <c r="C32" s="1157"/>
      <c r="D32" s="1157"/>
      <c r="E32" s="1157"/>
      <c r="F32" s="1157"/>
      <c r="G32" s="1157"/>
      <c r="H32" s="1162">
        <f>SUM(I12:I29)</f>
        <v>0</v>
      </c>
      <c r="I32" s="1163"/>
      <c r="J32" s="552">
        <f>SUM(J12:J31)</f>
        <v>0</v>
      </c>
      <c r="L32" s="1156" t="s">
        <v>533</v>
      </c>
      <c r="M32" s="1157"/>
      <c r="N32" s="1157"/>
      <c r="O32" s="1157"/>
      <c r="P32" s="1157"/>
      <c r="Q32" s="1157"/>
      <c r="R32" s="1157"/>
      <c r="S32" s="1162">
        <f>SUM(T12:T29)</f>
        <v>0</v>
      </c>
      <c r="T32" s="1163"/>
      <c r="U32" s="552">
        <f>SUM(U12:U31)</f>
        <v>0</v>
      </c>
      <c r="V32" s="800"/>
      <c r="W32" s="1084" t="s">
        <v>533</v>
      </c>
      <c r="X32" s="1085"/>
      <c r="Y32" s="1085"/>
      <c r="Z32" s="1085"/>
      <c r="AA32" s="1085"/>
      <c r="AB32" s="1085"/>
      <c r="AC32" s="1085"/>
      <c r="AD32" s="1097">
        <f>SUM(AE12:AE29)</f>
        <v>0</v>
      </c>
      <c r="AE32" s="1098"/>
      <c r="AF32" s="801">
        <f>SUM(AF12:AF31)</f>
        <v>0</v>
      </c>
      <c r="AG32" s="800"/>
      <c r="AH32" s="1084" t="s">
        <v>533</v>
      </c>
      <c r="AI32" s="1085"/>
      <c r="AJ32" s="1085"/>
      <c r="AK32" s="1085"/>
      <c r="AL32" s="1085"/>
      <c r="AM32" s="1085"/>
      <c r="AN32" s="1085"/>
      <c r="AO32" s="1097">
        <f>SUM(AP12:AP29)</f>
        <v>0</v>
      </c>
      <c r="AP32" s="1098"/>
      <c r="AQ32" s="788">
        <f t="shared" si="12"/>
        <v>0</v>
      </c>
      <c r="AR32" s="751"/>
      <c r="AS32" s="751"/>
    </row>
    <row r="33" spans="1:45" s="268" customFormat="1" ht="15" customHeight="1" x14ac:dyDescent="0.25">
      <c r="A33" s="1173" t="s">
        <v>213</v>
      </c>
      <c r="B33" s="1159"/>
      <c r="C33" s="1159"/>
      <c r="D33" s="1159"/>
      <c r="E33" s="1159"/>
      <c r="F33" s="1159"/>
      <c r="G33" s="1160"/>
      <c r="H33" s="1175"/>
      <c r="I33" s="1176"/>
      <c r="J33" s="551"/>
      <c r="L33" s="1173" t="s">
        <v>213</v>
      </c>
      <c r="M33" s="1159"/>
      <c r="N33" s="1159"/>
      <c r="O33" s="1159"/>
      <c r="P33" s="1159"/>
      <c r="Q33" s="1159"/>
      <c r="R33" s="1160"/>
      <c r="S33" s="1175"/>
      <c r="T33" s="1176"/>
      <c r="U33" s="551"/>
      <c r="V33" s="775"/>
      <c r="W33" s="1099" t="s">
        <v>213</v>
      </c>
      <c r="X33" s="1087"/>
      <c r="Y33" s="1087"/>
      <c r="Z33" s="1087"/>
      <c r="AA33" s="1087"/>
      <c r="AB33" s="1087"/>
      <c r="AC33" s="1088"/>
      <c r="AD33" s="1100"/>
      <c r="AE33" s="1101"/>
      <c r="AF33" s="799"/>
      <c r="AG33" s="775"/>
      <c r="AH33" s="1099" t="s">
        <v>213</v>
      </c>
      <c r="AI33" s="1087"/>
      <c r="AJ33" s="1087"/>
      <c r="AK33" s="1087"/>
      <c r="AL33" s="1087"/>
      <c r="AM33" s="1087"/>
      <c r="AN33" s="1088"/>
      <c r="AO33" s="1100"/>
      <c r="AP33" s="1101"/>
      <c r="AQ33" s="788"/>
      <c r="AR33" s="859"/>
      <c r="AS33" s="859"/>
    </row>
    <row r="34" spans="1:45" s="268" customFormat="1" ht="15" customHeight="1" x14ac:dyDescent="0.25">
      <c r="A34" s="575"/>
      <c r="B34" s="1174" t="s">
        <v>199</v>
      </c>
      <c r="C34" s="1174"/>
      <c r="D34" s="1174"/>
      <c r="E34" s="1174"/>
      <c r="F34" s="1174"/>
      <c r="G34" s="1174"/>
      <c r="H34" s="1161">
        <f>OtherDirectCosts!G11</f>
        <v>0</v>
      </c>
      <c r="I34" s="1155"/>
      <c r="J34" s="550">
        <f>OtherDirectCosts!H11</f>
        <v>0</v>
      </c>
      <c r="L34" s="575"/>
      <c r="M34" s="1174" t="s">
        <v>199</v>
      </c>
      <c r="N34" s="1174"/>
      <c r="O34" s="1174"/>
      <c r="P34" s="1174"/>
      <c r="Q34" s="1174"/>
      <c r="R34" s="1174"/>
      <c r="S34" s="1161">
        <f>OtherDirectCosts!P11</f>
        <v>0</v>
      </c>
      <c r="T34" s="1155"/>
      <c r="U34" s="550">
        <f>OtherDirectCosts!Q11</f>
        <v>0</v>
      </c>
      <c r="V34" s="775"/>
      <c r="W34" s="802"/>
      <c r="X34" s="1112" t="s">
        <v>199</v>
      </c>
      <c r="Y34" s="1112"/>
      <c r="Z34" s="1112"/>
      <c r="AA34" s="1112"/>
      <c r="AB34" s="1112"/>
      <c r="AC34" s="1112"/>
      <c r="AD34" s="1082">
        <f>OtherDirectCosts!Y11</f>
        <v>0</v>
      </c>
      <c r="AE34" s="1083"/>
      <c r="AF34" s="788">
        <f>OtherDirectCosts!Z11</f>
        <v>0</v>
      </c>
      <c r="AG34" s="775"/>
      <c r="AH34" s="802"/>
      <c r="AI34" s="1112" t="s">
        <v>199</v>
      </c>
      <c r="AJ34" s="1112"/>
      <c r="AK34" s="1112"/>
      <c r="AL34" s="1112"/>
      <c r="AM34" s="1112"/>
      <c r="AN34" s="1112"/>
      <c r="AO34" s="1082">
        <f>H34+S34+AD34</f>
        <v>0</v>
      </c>
      <c r="AP34" s="1083"/>
      <c r="AQ34" s="788">
        <f t="shared" si="12"/>
        <v>0</v>
      </c>
      <c r="AR34" s="859"/>
      <c r="AS34" s="859"/>
    </row>
    <row r="35" spans="1:45" s="268" customFormat="1" ht="15" customHeight="1" x14ac:dyDescent="0.25">
      <c r="A35" s="576"/>
      <c r="B35" s="1153" t="s">
        <v>231</v>
      </c>
      <c r="C35" s="1153"/>
      <c r="D35" s="1153"/>
      <c r="E35" s="1153"/>
      <c r="F35" s="1153"/>
      <c r="G35" s="1153"/>
      <c r="H35" s="1161">
        <f>OtherDirectCosts!G19</f>
        <v>0</v>
      </c>
      <c r="I35" s="1155"/>
      <c r="J35" s="550">
        <f>OtherDirectCosts!H19</f>
        <v>0</v>
      </c>
      <c r="L35" s="685"/>
      <c r="M35" s="1153" t="s">
        <v>231</v>
      </c>
      <c r="N35" s="1153"/>
      <c r="O35" s="1153"/>
      <c r="P35" s="1153"/>
      <c r="Q35" s="1153"/>
      <c r="R35" s="1153"/>
      <c r="S35" s="1161">
        <f>OtherDirectCosts!P19</f>
        <v>0</v>
      </c>
      <c r="T35" s="1155"/>
      <c r="U35" s="550">
        <f>OtherDirectCosts!Q19</f>
        <v>0</v>
      </c>
      <c r="V35" s="775"/>
      <c r="W35" s="803"/>
      <c r="X35" s="1081" t="s">
        <v>231</v>
      </c>
      <c r="Y35" s="1081"/>
      <c r="Z35" s="1081"/>
      <c r="AA35" s="1081"/>
      <c r="AB35" s="1081"/>
      <c r="AC35" s="1081"/>
      <c r="AD35" s="1082">
        <f>OtherDirectCosts!Y19</f>
        <v>0</v>
      </c>
      <c r="AE35" s="1083"/>
      <c r="AF35" s="788">
        <f>OtherDirectCosts!Z19</f>
        <v>0</v>
      </c>
      <c r="AG35" s="775"/>
      <c r="AH35" s="803"/>
      <c r="AI35" s="1081" t="s">
        <v>231</v>
      </c>
      <c r="AJ35" s="1081"/>
      <c r="AK35" s="1081"/>
      <c r="AL35" s="1081"/>
      <c r="AM35" s="1081"/>
      <c r="AN35" s="1081"/>
      <c r="AO35" s="1082">
        <f t="shared" ref="AO35:AO47" si="13">H35+S35+AD35</f>
        <v>0</v>
      </c>
      <c r="AP35" s="1083"/>
      <c r="AQ35" s="788">
        <f t="shared" si="12"/>
        <v>0</v>
      </c>
      <c r="AR35" s="859"/>
      <c r="AS35" s="859"/>
    </row>
    <row r="36" spans="1:45" s="268" customFormat="1" ht="15" customHeight="1" x14ac:dyDescent="0.25">
      <c r="A36" s="576"/>
      <c r="B36" s="1153" t="s">
        <v>232</v>
      </c>
      <c r="C36" s="1153"/>
      <c r="D36" s="1153"/>
      <c r="E36" s="1153"/>
      <c r="F36" s="1153"/>
      <c r="G36" s="1153"/>
      <c r="H36" s="1161">
        <f>OtherDirectCosts!G27</f>
        <v>0</v>
      </c>
      <c r="I36" s="1155"/>
      <c r="J36" s="550">
        <f>OtherDirectCosts!H27</f>
        <v>0</v>
      </c>
      <c r="L36" s="685"/>
      <c r="M36" s="1153" t="s">
        <v>232</v>
      </c>
      <c r="N36" s="1153"/>
      <c r="O36" s="1153"/>
      <c r="P36" s="1153"/>
      <c r="Q36" s="1153"/>
      <c r="R36" s="1153"/>
      <c r="S36" s="1161">
        <f>OtherDirectCosts!P27</f>
        <v>0</v>
      </c>
      <c r="T36" s="1155"/>
      <c r="U36" s="550">
        <f>OtherDirectCosts!Q27</f>
        <v>0</v>
      </c>
      <c r="V36" s="775"/>
      <c r="W36" s="803"/>
      <c r="X36" s="1081" t="s">
        <v>232</v>
      </c>
      <c r="Y36" s="1081"/>
      <c r="Z36" s="1081"/>
      <c r="AA36" s="1081"/>
      <c r="AB36" s="1081"/>
      <c r="AC36" s="1081"/>
      <c r="AD36" s="1082">
        <f>OtherDirectCosts!Y27</f>
        <v>0</v>
      </c>
      <c r="AE36" s="1083"/>
      <c r="AF36" s="788">
        <f>OtherDirectCosts!Z27</f>
        <v>0</v>
      </c>
      <c r="AG36" s="775"/>
      <c r="AH36" s="803"/>
      <c r="AI36" s="1081" t="s">
        <v>232</v>
      </c>
      <c r="AJ36" s="1081"/>
      <c r="AK36" s="1081"/>
      <c r="AL36" s="1081"/>
      <c r="AM36" s="1081"/>
      <c r="AN36" s="1081"/>
      <c r="AO36" s="1082">
        <f t="shared" si="13"/>
        <v>0</v>
      </c>
      <c r="AP36" s="1083"/>
      <c r="AQ36" s="788">
        <f t="shared" si="12"/>
        <v>0</v>
      </c>
      <c r="AR36" s="859"/>
      <c r="AS36" s="859"/>
    </row>
    <row r="37" spans="1:45" s="268" customFormat="1" ht="15" customHeight="1" x14ac:dyDescent="0.25">
      <c r="A37" s="576"/>
      <c r="B37" s="1153" t="s">
        <v>201</v>
      </c>
      <c r="C37" s="1153"/>
      <c r="D37" s="1153"/>
      <c r="E37" s="1153"/>
      <c r="F37" s="1153"/>
      <c r="G37" s="1153"/>
      <c r="H37" s="1161">
        <f>OtherDirectCosts!G34</f>
        <v>0</v>
      </c>
      <c r="I37" s="1155"/>
      <c r="J37" s="550">
        <f>OtherDirectCosts!H34</f>
        <v>0</v>
      </c>
      <c r="L37" s="685"/>
      <c r="M37" s="1153" t="s">
        <v>201</v>
      </c>
      <c r="N37" s="1153"/>
      <c r="O37" s="1153"/>
      <c r="P37" s="1153"/>
      <c r="Q37" s="1153"/>
      <c r="R37" s="1153"/>
      <c r="S37" s="1161">
        <f>OtherDirectCosts!P34</f>
        <v>0</v>
      </c>
      <c r="T37" s="1155"/>
      <c r="U37" s="550">
        <f>OtherDirectCosts!Q34</f>
        <v>0</v>
      </c>
      <c r="V37" s="775"/>
      <c r="W37" s="803"/>
      <c r="X37" s="1081" t="s">
        <v>201</v>
      </c>
      <c r="Y37" s="1081"/>
      <c r="Z37" s="1081"/>
      <c r="AA37" s="1081"/>
      <c r="AB37" s="1081"/>
      <c r="AC37" s="1081"/>
      <c r="AD37" s="1082">
        <f>OtherDirectCosts!Y34</f>
        <v>0</v>
      </c>
      <c r="AE37" s="1083"/>
      <c r="AF37" s="788">
        <f>OtherDirectCosts!Z34</f>
        <v>0</v>
      </c>
      <c r="AG37" s="775"/>
      <c r="AH37" s="803"/>
      <c r="AI37" s="1081" t="s">
        <v>201</v>
      </c>
      <c r="AJ37" s="1081"/>
      <c r="AK37" s="1081"/>
      <c r="AL37" s="1081"/>
      <c r="AM37" s="1081"/>
      <c r="AN37" s="1081"/>
      <c r="AO37" s="1082">
        <f t="shared" si="13"/>
        <v>0</v>
      </c>
      <c r="AP37" s="1083"/>
      <c r="AQ37" s="788">
        <f t="shared" si="12"/>
        <v>0</v>
      </c>
      <c r="AR37" s="859"/>
      <c r="AS37" s="859"/>
    </row>
    <row r="38" spans="1:45" s="268" customFormat="1" ht="15" customHeight="1" x14ac:dyDescent="0.25">
      <c r="A38" s="576"/>
      <c r="B38" s="1158" t="s">
        <v>543</v>
      </c>
      <c r="C38" s="1159"/>
      <c r="D38" s="1159"/>
      <c r="E38" s="1159"/>
      <c r="F38" s="1159"/>
      <c r="G38" s="1160"/>
      <c r="H38" s="1161">
        <f>OtherDirectCosts!G40</f>
        <v>0</v>
      </c>
      <c r="I38" s="1155"/>
      <c r="J38" s="550">
        <f>OtherDirectCosts!H40</f>
        <v>0</v>
      </c>
      <c r="L38" s="685"/>
      <c r="M38" s="1158" t="s">
        <v>543</v>
      </c>
      <c r="N38" s="1159"/>
      <c r="O38" s="1159"/>
      <c r="P38" s="1159"/>
      <c r="Q38" s="1159"/>
      <c r="R38" s="1160"/>
      <c r="S38" s="1161">
        <f>OtherDirectCosts!P40</f>
        <v>0</v>
      </c>
      <c r="T38" s="1155"/>
      <c r="U38" s="550">
        <f>OtherDirectCosts!Q40</f>
        <v>0</v>
      </c>
      <c r="V38" s="775"/>
      <c r="W38" s="803"/>
      <c r="X38" s="1086" t="s">
        <v>543</v>
      </c>
      <c r="Y38" s="1087"/>
      <c r="Z38" s="1087"/>
      <c r="AA38" s="1087"/>
      <c r="AB38" s="1087"/>
      <c r="AC38" s="1088"/>
      <c r="AD38" s="1082">
        <f>OtherDirectCosts!Y40</f>
        <v>0</v>
      </c>
      <c r="AE38" s="1083"/>
      <c r="AF38" s="788">
        <f>OtherDirectCosts!Z40</f>
        <v>0</v>
      </c>
      <c r="AG38" s="775"/>
      <c r="AH38" s="803"/>
      <c r="AI38" s="1086" t="s">
        <v>543</v>
      </c>
      <c r="AJ38" s="1087"/>
      <c r="AK38" s="1087"/>
      <c r="AL38" s="1087"/>
      <c r="AM38" s="1087"/>
      <c r="AN38" s="1088"/>
      <c r="AO38" s="1082">
        <f t="shared" si="13"/>
        <v>0</v>
      </c>
      <c r="AP38" s="1083"/>
      <c r="AQ38" s="788">
        <f t="shared" si="12"/>
        <v>0</v>
      </c>
      <c r="AR38" s="859"/>
      <c r="AS38" s="859"/>
    </row>
    <row r="39" spans="1:45" s="268" customFormat="1" ht="15" customHeight="1" x14ac:dyDescent="0.25">
      <c r="A39" s="576"/>
      <c r="B39" s="1158" t="s">
        <v>544</v>
      </c>
      <c r="C39" s="1159"/>
      <c r="D39" s="1159"/>
      <c r="E39" s="1159"/>
      <c r="F39" s="1159"/>
      <c r="G39" s="1160"/>
      <c r="H39" s="1161">
        <f>OtherDirectCosts!G46</f>
        <v>0</v>
      </c>
      <c r="I39" s="1155"/>
      <c r="J39" s="550">
        <f>OtherDirectCosts!H46</f>
        <v>0</v>
      </c>
      <c r="L39" s="685"/>
      <c r="M39" s="1158" t="s">
        <v>544</v>
      </c>
      <c r="N39" s="1159"/>
      <c r="O39" s="1159"/>
      <c r="P39" s="1159"/>
      <c r="Q39" s="1159"/>
      <c r="R39" s="1160"/>
      <c r="S39" s="1161">
        <f>OtherDirectCosts!P46</f>
        <v>0</v>
      </c>
      <c r="T39" s="1155"/>
      <c r="U39" s="550">
        <f>OtherDirectCosts!Q46</f>
        <v>0</v>
      </c>
      <c r="V39" s="775"/>
      <c r="W39" s="803"/>
      <c r="X39" s="1086" t="s">
        <v>544</v>
      </c>
      <c r="Y39" s="1087"/>
      <c r="Z39" s="1087"/>
      <c r="AA39" s="1087"/>
      <c r="AB39" s="1087"/>
      <c r="AC39" s="1088"/>
      <c r="AD39" s="1082">
        <f>OtherDirectCosts!Y46</f>
        <v>0</v>
      </c>
      <c r="AE39" s="1083"/>
      <c r="AF39" s="788">
        <f>OtherDirectCosts!Z46</f>
        <v>0</v>
      </c>
      <c r="AG39" s="775"/>
      <c r="AH39" s="803"/>
      <c r="AI39" s="1086" t="s">
        <v>544</v>
      </c>
      <c r="AJ39" s="1087"/>
      <c r="AK39" s="1087"/>
      <c r="AL39" s="1087"/>
      <c r="AM39" s="1087"/>
      <c r="AN39" s="1088"/>
      <c r="AO39" s="1082">
        <f t="shared" si="13"/>
        <v>0</v>
      </c>
      <c r="AP39" s="1083"/>
      <c r="AQ39" s="788">
        <f t="shared" si="12"/>
        <v>0</v>
      </c>
      <c r="AR39" s="859"/>
      <c r="AS39" s="859"/>
    </row>
    <row r="40" spans="1:45" s="268" customFormat="1" ht="15" customHeight="1" x14ac:dyDescent="0.25">
      <c r="A40" s="576"/>
      <c r="B40" s="1153" t="s">
        <v>219</v>
      </c>
      <c r="C40" s="1153"/>
      <c r="D40" s="1153"/>
      <c r="E40" s="1153"/>
      <c r="F40" s="1153"/>
      <c r="G40" s="1153"/>
      <c r="H40" s="1161">
        <f>OtherDirectCosts!G54</f>
        <v>0</v>
      </c>
      <c r="I40" s="1155"/>
      <c r="J40" s="550">
        <f>OtherDirectCosts!H54</f>
        <v>0</v>
      </c>
      <c r="L40" s="685"/>
      <c r="M40" s="1153" t="s">
        <v>219</v>
      </c>
      <c r="N40" s="1153"/>
      <c r="O40" s="1153"/>
      <c r="P40" s="1153"/>
      <c r="Q40" s="1153"/>
      <c r="R40" s="1153"/>
      <c r="S40" s="1161">
        <f>OtherDirectCosts!P54</f>
        <v>0</v>
      </c>
      <c r="T40" s="1155"/>
      <c r="U40" s="550">
        <f>OtherDirectCosts!Q54</f>
        <v>0</v>
      </c>
      <c r="V40" s="775"/>
      <c r="W40" s="803"/>
      <c r="X40" s="1081" t="s">
        <v>219</v>
      </c>
      <c r="Y40" s="1081"/>
      <c r="Z40" s="1081"/>
      <c r="AA40" s="1081"/>
      <c r="AB40" s="1081"/>
      <c r="AC40" s="1081"/>
      <c r="AD40" s="1082">
        <f>OtherDirectCosts!Y54</f>
        <v>0</v>
      </c>
      <c r="AE40" s="1083"/>
      <c r="AF40" s="788">
        <f>OtherDirectCosts!Z54</f>
        <v>0</v>
      </c>
      <c r="AG40" s="775"/>
      <c r="AH40" s="803"/>
      <c r="AI40" s="1081" t="s">
        <v>219</v>
      </c>
      <c r="AJ40" s="1081"/>
      <c r="AK40" s="1081"/>
      <c r="AL40" s="1081"/>
      <c r="AM40" s="1081"/>
      <c r="AN40" s="1081"/>
      <c r="AO40" s="1082">
        <f t="shared" si="13"/>
        <v>0</v>
      </c>
      <c r="AP40" s="1083"/>
      <c r="AQ40" s="788">
        <f t="shared" si="12"/>
        <v>0</v>
      </c>
      <c r="AR40" s="859"/>
      <c r="AS40" s="859"/>
    </row>
    <row r="41" spans="1:45" s="268" customFormat="1" ht="15" customHeight="1" x14ac:dyDescent="0.25">
      <c r="A41" s="576"/>
      <c r="B41" s="1153" t="s">
        <v>205</v>
      </c>
      <c r="C41" s="1153"/>
      <c r="D41" s="1153"/>
      <c r="E41" s="1153"/>
      <c r="F41" s="1153"/>
      <c r="G41" s="1153"/>
      <c r="H41" s="1161">
        <f>OtherDirectCosts!G59</f>
        <v>0</v>
      </c>
      <c r="I41" s="1155"/>
      <c r="J41" s="550">
        <f>OtherDirectCosts!H59</f>
        <v>0</v>
      </c>
      <c r="L41" s="685"/>
      <c r="M41" s="1153" t="s">
        <v>205</v>
      </c>
      <c r="N41" s="1153"/>
      <c r="O41" s="1153"/>
      <c r="P41" s="1153"/>
      <c r="Q41" s="1153"/>
      <c r="R41" s="1153"/>
      <c r="S41" s="1161">
        <f>OtherDirectCosts!P59</f>
        <v>0</v>
      </c>
      <c r="T41" s="1155"/>
      <c r="U41" s="550">
        <f>OtherDirectCosts!Q59</f>
        <v>0</v>
      </c>
      <c r="V41" s="775"/>
      <c r="W41" s="803"/>
      <c r="X41" s="1081" t="s">
        <v>205</v>
      </c>
      <c r="Y41" s="1081"/>
      <c r="Z41" s="1081"/>
      <c r="AA41" s="1081"/>
      <c r="AB41" s="1081"/>
      <c r="AC41" s="1081"/>
      <c r="AD41" s="1082">
        <f>OtherDirectCosts!Y59</f>
        <v>0</v>
      </c>
      <c r="AE41" s="1083"/>
      <c r="AF41" s="788">
        <f>OtherDirectCosts!Z59</f>
        <v>0</v>
      </c>
      <c r="AG41" s="775"/>
      <c r="AH41" s="803"/>
      <c r="AI41" s="1081" t="s">
        <v>205</v>
      </c>
      <c r="AJ41" s="1081"/>
      <c r="AK41" s="1081"/>
      <c r="AL41" s="1081"/>
      <c r="AM41" s="1081"/>
      <c r="AN41" s="1081"/>
      <c r="AO41" s="1082">
        <f t="shared" si="13"/>
        <v>0</v>
      </c>
      <c r="AP41" s="1083"/>
      <c r="AQ41" s="788">
        <f t="shared" si="12"/>
        <v>0</v>
      </c>
      <c r="AR41" s="859"/>
      <c r="AS41" s="859"/>
    </row>
    <row r="42" spans="1:45" s="268" customFormat="1" ht="15" customHeight="1" x14ac:dyDescent="0.25">
      <c r="A42" s="576"/>
      <c r="B42" s="1153" t="s">
        <v>220</v>
      </c>
      <c r="C42" s="1153"/>
      <c r="D42" s="1153"/>
      <c r="E42" s="1153"/>
      <c r="F42" s="1153"/>
      <c r="G42" s="1153"/>
      <c r="H42" s="1161">
        <f>OtherDirectCosts!G64</f>
        <v>0</v>
      </c>
      <c r="I42" s="1155"/>
      <c r="J42" s="550">
        <f>OtherDirectCosts!H64</f>
        <v>0</v>
      </c>
      <c r="L42" s="685"/>
      <c r="M42" s="1153" t="s">
        <v>220</v>
      </c>
      <c r="N42" s="1153"/>
      <c r="O42" s="1153"/>
      <c r="P42" s="1153"/>
      <c r="Q42" s="1153"/>
      <c r="R42" s="1153"/>
      <c r="S42" s="1161">
        <f>OtherDirectCosts!P64</f>
        <v>0</v>
      </c>
      <c r="T42" s="1155"/>
      <c r="U42" s="550">
        <f>OtherDirectCosts!Q64</f>
        <v>0</v>
      </c>
      <c r="V42" s="775"/>
      <c r="W42" s="803"/>
      <c r="X42" s="1081" t="s">
        <v>220</v>
      </c>
      <c r="Y42" s="1081"/>
      <c r="Z42" s="1081"/>
      <c r="AA42" s="1081"/>
      <c r="AB42" s="1081"/>
      <c r="AC42" s="1081"/>
      <c r="AD42" s="1082">
        <f>OtherDirectCosts!Y64</f>
        <v>0</v>
      </c>
      <c r="AE42" s="1083"/>
      <c r="AF42" s="788">
        <f>OtherDirectCosts!Z64</f>
        <v>0</v>
      </c>
      <c r="AG42" s="775"/>
      <c r="AH42" s="803"/>
      <c r="AI42" s="1081" t="s">
        <v>220</v>
      </c>
      <c r="AJ42" s="1081"/>
      <c r="AK42" s="1081"/>
      <c r="AL42" s="1081"/>
      <c r="AM42" s="1081"/>
      <c r="AN42" s="1081"/>
      <c r="AO42" s="1082">
        <f t="shared" si="13"/>
        <v>0</v>
      </c>
      <c r="AP42" s="1083"/>
      <c r="AQ42" s="788">
        <f t="shared" si="12"/>
        <v>0</v>
      </c>
      <c r="AR42" s="859"/>
      <c r="AS42" s="859"/>
    </row>
    <row r="43" spans="1:45" s="268" customFormat="1" ht="15" customHeight="1" x14ac:dyDescent="0.25">
      <c r="A43" s="576"/>
      <c r="B43" s="1153" t="s">
        <v>233</v>
      </c>
      <c r="C43" s="1153"/>
      <c r="D43" s="1153"/>
      <c r="E43" s="1153"/>
      <c r="F43" s="1153"/>
      <c r="G43" s="1153"/>
      <c r="H43" s="1161">
        <f>OtherDirectCosts!G69</f>
        <v>0</v>
      </c>
      <c r="I43" s="1155"/>
      <c r="J43" s="550">
        <f>OtherDirectCosts!H69</f>
        <v>0</v>
      </c>
      <c r="L43" s="685"/>
      <c r="M43" s="1153" t="s">
        <v>233</v>
      </c>
      <c r="N43" s="1153"/>
      <c r="O43" s="1153"/>
      <c r="P43" s="1153"/>
      <c r="Q43" s="1153"/>
      <c r="R43" s="1153"/>
      <c r="S43" s="1161">
        <f>OtherDirectCosts!P69</f>
        <v>0</v>
      </c>
      <c r="T43" s="1155"/>
      <c r="U43" s="550">
        <f>OtherDirectCosts!Q69</f>
        <v>0</v>
      </c>
      <c r="V43" s="775"/>
      <c r="W43" s="803"/>
      <c r="X43" s="1081" t="s">
        <v>233</v>
      </c>
      <c r="Y43" s="1081"/>
      <c r="Z43" s="1081"/>
      <c r="AA43" s="1081"/>
      <c r="AB43" s="1081"/>
      <c r="AC43" s="1081"/>
      <c r="AD43" s="1082">
        <f>OtherDirectCosts!Y69</f>
        <v>0</v>
      </c>
      <c r="AE43" s="1083"/>
      <c r="AF43" s="788">
        <f>OtherDirectCosts!Z69</f>
        <v>0</v>
      </c>
      <c r="AG43" s="775"/>
      <c r="AH43" s="803"/>
      <c r="AI43" s="1081" t="s">
        <v>233</v>
      </c>
      <c r="AJ43" s="1081"/>
      <c r="AK43" s="1081"/>
      <c r="AL43" s="1081"/>
      <c r="AM43" s="1081"/>
      <c r="AN43" s="1081"/>
      <c r="AO43" s="1082">
        <f t="shared" si="13"/>
        <v>0</v>
      </c>
      <c r="AP43" s="1083"/>
      <c r="AQ43" s="788">
        <f t="shared" si="12"/>
        <v>0</v>
      </c>
      <c r="AR43" s="859"/>
      <c r="AS43" s="859"/>
    </row>
    <row r="44" spans="1:45" s="268" customFormat="1" ht="15" customHeight="1" x14ac:dyDescent="0.25">
      <c r="A44" s="576"/>
      <c r="B44" s="1153" t="s">
        <v>207</v>
      </c>
      <c r="C44" s="1153"/>
      <c r="D44" s="1153"/>
      <c r="E44" s="1153"/>
      <c r="F44" s="1153"/>
      <c r="G44" s="1153"/>
      <c r="H44" s="1161">
        <f>OtherDirectCosts!G81</f>
        <v>0</v>
      </c>
      <c r="I44" s="1155"/>
      <c r="J44" s="550">
        <f>OtherDirectCosts!H81</f>
        <v>0</v>
      </c>
      <c r="L44" s="685"/>
      <c r="M44" s="1153" t="s">
        <v>207</v>
      </c>
      <c r="N44" s="1153"/>
      <c r="O44" s="1153"/>
      <c r="P44" s="1153"/>
      <c r="Q44" s="1153"/>
      <c r="R44" s="1153"/>
      <c r="S44" s="1161">
        <f>OtherDirectCosts!P81</f>
        <v>0</v>
      </c>
      <c r="T44" s="1155"/>
      <c r="U44" s="550">
        <f>OtherDirectCosts!Q81</f>
        <v>0</v>
      </c>
      <c r="V44" s="775"/>
      <c r="W44" s="803"/>
      <c r="X44" s="1081" t="s">
        <v>207</v>
      </c>
      <c r="Y44" s="1081"/>
      <c r="Z44" s="1081"/>
      <c r="AA44" s="1081"/>
      <c r="AB44" s="1081"/>
      <c r="AC44" s="1081"/>
      <c r="AD44" s="1082">
        <f>OtherDirectCosts!Y81</f>
        <v>0</v>
      </c>
      <c r="AE44" s="1083"/>
      <c r="AF44" s="788">
        <f>OtherDirectCosts!Z81</f>
        <v>0</v>
      </c>
      <c r="AG44" s="775"/>
      <c r="AH44" s="803"/>
      <c r="AI44" s="1081" t="s">
        <v>207</v>
      </c>
      <c r="AJ44" s="1081"/>
      <c r="AK44" s="1081"/>
      <c r="AL44" s="1081"/>
      <c r="AM44" s="1081"/>
      <c r="AN44" s="1081"/>
      <c r="AO44" s="1082">
        <f t="shared" si="13"/>
        <v>0</v>
      </c>
      <c r="AP44" s="1083"/>
      <c r="AQ44" s="788">
        <f t="shared" si="12"/>
        <v>0</v>
      </c>
      <c r="AR44" s="859"/>
      <c r="AS44" s="859"/>
    </row>
    <row r="45" spans="1:45" s="268" customFormat="1" ht="15" customHeight="1" x14ac:dyDescent="0.25">
      <c r="A45" s="576"/>
      <c r="B45" s="1153" t="s">
        <v>235</v>
      </c>
      <c r="C45" s="1153"/>
      <c r="D45" s="1153"/>
      <c r="E45" s="1153"/>
      <c r="F45" s="1153"/>
      <c r="G45" s="1153"/>
      <c r="H45" s="1161">
        <f>Personnel!I70+Personnel!I78+Personnel!I86+Personnel!I94+Personnel!I102</f>
        <v>0</v>
      </c>
      <c r="I45" s="1155"/>
      <c r="J45" s="551" t="s">
        <v>538</v>
      </c>
      <c r="L45" s="685"/>
      <c r="M45" s="1153" t="s">
        <v>235</v>
      </c>
      <c r="N45" s="1153"/>
      <c r="O45" s="1153"/>
      <c r="P45" s="1153"/>
      <c r="Q45" s="1153"/>
      <c r="R45" s="1153"/>
      <c r="S45" s="1161">
        <f>Personnel!Q70+Personnel!Q78+Personnel!Q86+Personnel!Q94+Personnel!Q102</f>
        <v>0</v>
      </c>
      <c r="T45" s="1155"/>
      <c r="U45" s="551" t="s">
        <v>538</v>
      </c>
      <c r="V45" s="775"/>
      <c r="W45" s="803"/>
      <c r="X45" s="1081" t="s">
        <v>235</v>
      </c>
      <c r="Y45" s="1081"/>
      <c r="Z45" s="1081"/>
      <c r="AA45" s="1081"/>
      <c r="AB45" s="1081"/>
      <c r="AC45" s="1081"/>
      <c r="AD45" s="1082">
        <f>Personnel!Y70+Personnel!Y78+Personnel!Y86+Personnel!Y94+Personnel!Y102</f>
        <v>0</v>
      </c>
      <c r="AE45" s="1083"/>
      <c r="AF45" s="799" t="s">
        <v>538</v>
      </c>
      <c r="AG45" s="775"/>
      <c r="AH45" s="803"/>
      <c r="AI45" s="1081" t="s">
        <v>235</v>
      </c>
      <c r="AJ45" s="1081"/>
      <c r="AK45" s="1081"/>
      <c r="AL45" s="1081"/>
      <c r="AM45" s="1081"/>
      <c r="AN45" s="1081"/>
      <c r="AO45" s="1082">
        <f t="shared" si="13"/>
        <v>0</v>
      </c>
      <c r="AP45" s="1083"/>
      <c r="AQ45" s="799" t="s">
        <v>538</v>
      </c>
      <c r="AR45" s="859"/>
      <c r="AS45" s="859"/>
    </row>
    <row r="46" spans="1:45" s="268" customFormat="1" ht="15" customHeight="1" x14ac:dyDescent="0.25">
      <c r="A46" s="576"/>
      <c r="B46" s="1153" t="s">
        <v>213</v>
      </c>
      <c r="C46" s="1153"/>
      <c r="D46" s="1153"/>
      <c r="E46" s="1153"/>
      <c r="F46" s="1153"/>
      <c r="G46" s="1153"/>
      <c r="H46" s="1161">
        <f>OtherDirectCosts!G88+OtherDirectCosts!G95</f>
        <v>0</v>
      </c>
      <c r="I46" s="1155"/>
      <c r="J46" s="550">
        <f>OtherDirectCosts!H88+OtherDirectCosts!H95</f>
        <v>0</v>
      </c>
      <c r="L46" s="685"/>
      <c r="M46" s="1153" t="s">
        <v>213</v>
      </c>
      <c r="N46" s="1153"/>
      <c r="O46" s="1153"/>
      <c r="P46" s="1153"/>
      <c r="Q46" s="1153"/>
      <c r="R46" s="1153"/>
      <c r="S46" s="1161">
        <f>OtherDirectCosts!P88+OtherDirectCosts!P95</f>
        <v>0</v>
      </c>
      <c r="T46" s="1155"/>
      <c r="U46" s="550">
        <f>OtherDirectCosts!Q88+OtherDirectCosts!Q95</f>
        <v>0</v>
      </c>
      <c r="V46" s="775"/>
      <c r="W46" s="803"/>
      <c r="X46" s="1081" t="s">
        <v>213</v>
      </c>
      <c r="Y46" s="1081"/>
      <c r="Z46" s="1081"/>
      <c r="AA46" s="1081"/>
      <c r="AB46" s="1081"/>
      <c r="AC46" s="1081"/>
      <c r="AD46" s="1082">
        <f>OtherDirectCosts!Y88+OtherDirectCosts!Y95</f>
        <v>0</v>
      </c>
      <c r="AE46" s="1083"/>
      <c r="AF46" s="788">
        <f>OtherDirectCosts!Z88+OtherDirectCosts!Z95</f>
        <v>0</v>
      </c>
      <c r="AG46" s="775"/>
      <c r="AH46" s="803"/>
      <c r="AI46" s="1081" t="s">
        <v>213</v>
      </c>
      <c r="AJ46" s="1081"/>
      <c r="AK46" s="1081"/>
      <c r="AL46" s="1081"/>
      <c r="AM46" s="1081"/>
      <c r="AN46" s="1081"/>
      <c r="AO46" s="1082">
        <f t="shared" si="13"/>
        <v>0</v>
      </c>
      <c r="AP46" s="1083"/>
      <c r="AQ46" s="788">
        <f t="shared" si="12"/>
        <v>0</v>
      </c>
      <c r="AR46" s="859"/>
      <c r="AS46" s="859"/>
    </row>
    <row r="47" spans="1:45" s="269" customFormat="1" ht="15" customHeight="1" x14ac:dyDescent="0.25">
      <c r="A47" s="1156" t="s">
        <v>234</v>
      </c>
      <c r="B47" s="1157"/>
      <c r="C47" s="1157"/>
      <c r="D47" s="1157"/>
      <c r="E47" s="1157"/>
      <c r="F47" s="1157"/>
      <c r="G47" s="1157"/>
      <c r="H47" s="1162">
        <f>H34+H35+H36+H37+H38+H39+H40+H41+H42+H43+H44+H45+H46</f>
        <v>0</v>
      </c>
      <c r="I47" s="1163"/>
      <c r="J47" s="552">
        <f>J34+J35+J36+J37+J38+J39+J40+J41+J42+J43+J44+J46</f>
        <v>0</v>
      </c>
      <c r="L47" s="1156" t="s">
        <v>234</v>
      </c>
      <c r="M47" s="1157"/>
      <c r="N47" s="1157"/>
      <c r="O47" s="1157"/>
      <c r="P47" s="1157"/>
      <c r="Q47" s="1157"/>
      <c r="R47" s="1157"/>
      <c r="S47" s="1162">
        <f>SUM(S34:T46)</f>
        <v>0</v>
      </c>
      <c r="T47" s="1163"/>
      <c r="U47" s="552">
        <f>SUM(U34:U46)</f>
        <v>0</v>
      </c>
      <c r="V47" s="800"/>
      <c r="W47" s="1084" t="s">
        <v>234</v>
      </c>
      <c r="X47" s="1085"/>
      <c r="Y47" s="1085"/>
      <c r="Z47" s="1085"/>
      <c r="AA47" s="1085"/>
      <c r="AB47" s="1085"/>
      <c r="AC47" s="1085"/>
      <c r="AD47" s="1097">
        <f>SUM(AD34:AE46)</f>
        <v>0</v>
      </c>
      <c r="AE47" s="1098"/>
      <c r="AF47" s="801">
        <f>SUM(AF34:AF46)</f>
        <v>0</v>
      </c>
      <c r="AG47" s="800"/>
      <c r="AH47" s="1084" t="s">
        <v>234</v>
      </c>
      <c r="AI47" s="1085"/>
      <c r="AJ47" s="1085"/>
      <c r="AK47" s="1085"/>
      <c r="AL47" s="1085"/>
      <c r="AM47" s="1085"/>
      <c r="AN47" s="1085"/>
      <c r="AO47" s="1082">
        <f t="shared" si="13"/>
        <v>0</v>
      </c>
      <c r="AP47" s="1083"/>
      <c r="AQ47" s="788">
        <f t="shared" si="12"/>
        <v>0</v>
      </c>
      <c r="AR47" s="751"/>
      <c r="AS47" s="751"/>
    </row>
    <row r="48" spans="1:45" s="269" customFormat="1" ht="4.5" customHeight="1" x14ac:dyDescent="0.25">
      <c r="A48" s="577"/>
      <c r="B48" s="578"/>
      <c r="C48" s="578"/>
      <c r="D48" s="578"/>
      <c r="E48" s="578"/>
      <c r="F48" s="578"/>
      <c r="G48" s="578"/>
      <c r="H48" s="579"/>
      <c r="I48" s="580"/>
      <c r="J48" s="552"/>
      <c r="L48" s="577"/>
      <c r="M48" s="578"/>
      <c r="N48" s="578"/>
      <c r="O48" s="578"/>
      <c r="P48" s="578"/>
      <c r="Q48" s="578"/>
      <c r="R48" s="578"/>
      <c r="S48" s="579"/>
      <c r="T48" s="580"/>
      <c r="U48" s="552"/>
      <c r="V48" s="800"/>
      <c r="W48" s="804"/>
      <c r="X48" s="805"/>
      <c r="Y48" s="805"/>
      <c r="Z48" s="805"/>
      <c r="AA48" s="805"/>
      <c r="AB48" s="805"/>
      <c r="AC48" s="805"/>
      <c r="AD48" s="806"/>
      <c r="AE48" s="807"/>
      <c r="AF48" s="801"/>
      <c r="AG48" s="800"/>
      <c r="AH48" s="804"/>
      <c r="AI48" s="805"/>
      <c r="AJ48" s="805"/>
      <c r="AK48" s="805"/>
      <c r="AL48" s="805"/>
      <c r="AM48" s="805"/>
      <c r="AN48" s="805"/>
      <c r="AO48" s="806"/>
      <c r="AP48" s="807"/>
      <c r="AQ48" s="788"/>
      <c r="AR48" s="751"/>
      <c r="AS48" s="751"/>
    </row>
    <row r="49" spans="1:45" s="268" customFormat="1" ht="15" customHeight="1" x14ac:dyDescent="0.25">
      <c r="A49" s="1156" t="s">
        <v>236</v>
      </c>
      <c r="B49" s="1157"/>
      <c r="C49" s="1157"/>
      <c r="D49" s="1157"/>
      <c r="E49" s="1157"/>
      <c r="F49" s="1157"/>
      <c r="G49" s="1157"/>
      <c r="H49" s="1161">
        <f>H32+H47</f>
        <v>0</v>
      </c>
      <c r="I49" s="1155"/>
      <c r="J49" s="551"/>
      <c r="L49" s="1156" t="s">
        <v>236</v>
      </c>
      <c r="M49" s="1157"/>
      <c r="N49" s="1157"/>
      <c r="O49" s="1157"/>
      <c r="P49" s="1157"/>
      <c r="Q49" s="1157"/>
      <c r="R49" s="1157"/>
      <c r="S49" s="1161">
        <f>S32+S47</f>
        <v>0</v>
      </c>
      <c r="T49" s="1155"/>
      <c r="U49" s="551"/>
      <c r="V49" s="775"/>
      <c r="W49" s="1084" t="s">
        <v>236</v>
      </c>
      <c r="X49" s="1085"/>
      <c r="Y49" s="1085"/>
      <c r="Z49" s="1085"/>
      <c r="AA49" s="1085"/>
      <c r="AB49" s="1085"/>
      <c r="AC49" s="1085"/>
      <c r="AD49" s="1082">
        <f>AD32+AD47</f>
        <v>0</v>
      </c>
      <c r="AE49" s="1083"/>
      <c r="AF49" s="799"/>
      <c r="AG49" s="775"/>
      <c r="AH49" s="1084" t="s">
        <v>236</v>
      </c>
      <c r="AI49" s="1085"/>
      <c r="AJ49" s="1085"/>
      <c r="AK49" s="1085"/>
      <c r="AL49" s="1085"/>
      <c r="AM49" s="1085"/>
      <c r="AN49" s="1085"/>
      <c r="AO49" s="1082">
        <f>AO32+AO47</f>
        <v>0</v>
      </c>
      <c r="AP49" s="1083"/>
      <c r="AQ49" s="788"/>
      <c r="AR49" s="859"/>
      <c r="AS49" s="859"/>
    </row>
    <row r="50" spans="1:45" s="268" customFormat="1" ht="15" customHeight="1" x14ac:dyDescent="0.25">
      <c r="A50" s="559"/>
      <c r="B50" s="581" t="s">
        <v>531</v>
      </c>
      <c r="C50" s="1168">
        <f>'F&amp;ARatesCalc'!C1</f>
        <v>0.56999999999999995</v>
      </c>
      <c r="D50" s="1159"/>
      <c r="E50" s="1159"/>
      <c r="F50" s="1159"/>
      <c r="G50" s="1160"/>
      <c r="H50" s="1154">
        <f>'F&amp;ARatesCalc'!K12</f>
        <v>0</v>
      </c>
      <c r="I50" s="1155"/>
      <c r="J50" s="551"/>
      <c r="L50" s="559"/>
      <c r="M50" s="581" t="s">
        <v>531</v>
      </c>
      <c r="N50" s="1168">
        <f>'F&amp;ARatesCalc'!C1</f>
        <v>0.56999999999999995</v>
      </c>
      <c r="O50" s="1159"/>
      <c r="P50" s="1159"/>
      <c r="Q50" s="1159"/>
      <c r="R50" s="1160"/>
      <c r="S50" s="1154">
        <f>'F&amp;ARatesCalc'!K18</f>
        <v>0</v>
      </c>
      <c r="T50" s="1155"/>
      <c r="U50" s="551"/>
      <c r="V50" s="775"/>
      <c r="W50" s="777"/>
      <c r="X50" s="808" t="s">
        <v>531</v>
      </c>
      <c r="Y50" s="1089">
        <f>'F&amp;ARatesCalc'!C1</f>
        <v>0.56999999999999995</v>
      </c>
      <c r="Z50" s="1087"/>
      <c r="AA50" s="1087"/>
      <c r="AB50" s="1087"/>
      <c r="AC50" s="1088"/>
      <c r="AD50" s="1090">
        <f>'F&amp;ARatesCalc'!K24</f>
        <v>0</v>
      </c>
      <c r="AE50" s="1083"/>
      <c r="AF50" s="799"/>
      <c r="AG50" s="775"/>
      <c r="AH50" s="777"/>
      <c r="AI50" s="808" t="s">
        <v>531</v>
      </c>
      <c r="AJ50" s="1089">
        <f>'F&amp;ARatesCalc'!Y1</f>
        <v>0</v>
      </c>
      <c r="AK50" s="1087"/>
      <c r="AL50" s="1087"/>
      <c r="AM50" s="1087"/>
      <c r="AN50" s="1088"/>
      <c r="AO50" s="1090">
        <f>H50+S50+AD50</f>
        <v>0</v>
      </c>
      <c r="AP50" s="1083"/>
      <c r="AQ50" s="788"/>
      <c r="AR50" s="859"/>
      <c r="AS50" s="859"/>
    </row>
    <row r="51" spans="1:45" s="269" customFormat="1" ht="15" customHeight="1" thickBot="1" x14ac:dyDescent="0.3">
      <c r="A51" s="1164" t="s">
        <v>237</v>
      </c>
      <c r="B51" s="1165"/>
      <c r="C51" s="1165"/>
      <c r="D51" s="1165"/>
      <c r="E51" s="1165"/>
      <c r="F51" s="1165"/>
      <c r="G51" s="1165"/>
      <c r="H51" s="1166">
        <f>H49+H50</f>
        <v>0</v>
      </c>
      <c r="I51" s="1167"/>
      <c r="J51" s="552">
        <f>J32+J47</f>
        <v>0</v>
      </c>
      <c r="L51" s="1164" t="s">
        <v>237</v>
      </c>
      <c r="M51" s="1165"/>
      <c r="N51" s="1165"/>
      <c r="O51" s="1165"/>
      <c r="P51" s="1165"/>
      <c r="Q51" s="1165"/>
      <c r="R51" s="1165"/>
      <c r="S51" s="1166">
        <f>S49+S50</f>
        <v>0</v>
      </c>
      <c r="T51" s="1167"/>
      <c r="U51" s="552">
        <f>U32+U47</f>
        <v>0</v>
      </c>
      <c r="V51" s="800"/>
      <c r="W51" s="1091" t="s">
        <v>237</v>
      </c>
      <c r="X51" s="1092"/>
      <c r="Y51" s="1092"/>
      <c r="Z51" s="1092"/>
      <c r="AA51" s="1092"/>
      <c r="AB51" s="1092"/>
      <c r="AC51" s="1092"/>
      <c r="AD51" s="1093">
        <f>AD49+AD50</f>
        <v>0</v>
      </c>
      <c r="AE51" s="1094"/>
      <c r="AF51" s="801">
        <f>AF32+AF47</f>
        <v>0</v>
      </c>
      <c r="AG51" s="800"/>
      <c r="AH51" s="1091" t="s">
        <v>237</v>
      </c>
      <c r="AI51" s="1092"/>
      <c r="AJ51" s="1092"/>
      <c r="AK51" s="1092"/>
      <c r="AL51" s="1092"/>
      <c r="AM51" s="1092"/>
      <c r="AN51" s="1092"/>
      <c r="AO51" s="1093">
        <f>AO49+AO50</f>
        <v>0</v>
      </c>
      <c r="AP51" s="1094"/>
      <c r="AQ51" s="788">
        <f t="shared" si="12"/>
        <v>0</v>
      </c>
      <c r="AR51" s="751"/>
      <c r="AS51" s="751"/>
    </row>
    <row r="52" spans="1:45" ht="15.75" x14ac:dyDescent="0.25">
      <c r="A52" s="1064"/>
      <c r="B52" s="1064"/>
      <c r="C52" s="1064"/>
      <c r="D52" s="1064"/>
      <c r="E52" s="1064"/>
      <c r="F52" s="1064"/>
      <c r="G52" s="1064"/>
      <c r="H52" s="1064"/>
      <c r="I52" s="1064"/>
      <c r="K52" s="268"/>
      <c r="L52" s="268"/>
      <c r="M52" s="268"/>
      <c r="N52" s="268"/>
      <c r="O52" s="268"/>
      <c r="P52" s="268"/>
      <c r="Q52" s="268"/>
      <c r="R52" s="268"/>
      <c r="S52" s="268"/>
      <c r="T52" s="268"/>
      <c r="U52" s="268"/>
      <c r="V52" s="268"/>
      <c r="W52" s="268"/>
      <c r="X52" s="315"/>
      <c r="AR52" s="31"/>
      <c r="AS52" s="31"/>
    </row>
    <row r="53" spans="1:45" ht="15.75" x14ac:dyDescent="0.25">
      <c r="A53" s="267"/>
      <c r="B53" s="268"/>
      <c r="C53" s="268"/>
      <c r="D53" s="268"/>
      <c r="E53" s="268"/>
      <c r="F53" s="268"/>
      <c r="G53" s="268"/>
      <c r="H53" s="268"/>
      <c r="I53" s="268"/>
      <c r="K53" s="268"/>
      <c r="L53" s="268"/>
      <c r="M53" s="268"/>
      <c r="N53" s="268"/>
      <c r="O53" s="268"/>
      <c r="P53" s="268"/>
      <c r="Q53" s="268"/>
      <c r="R53" s="268"/>
      <c r="S53" s="268"/>
      <c r="T53" s="268"/>
      <c r="U53" s="747"/>
      <c r="V53" s="268"/>
      <c r="W53" s="268"/>
      <c r="AR53" s="31"/>
      <c r="AS53" s="31"/>
    </row>
    <row r="54" spans="1:45" ht="15.75" customHeight="1" x14ac:dyDescent="0.25">
      <c r="A54" s="267"/>
      <c r="B54" s="1113" t="s">
        <v>636</v>
      </c>
      <c r="C54" s="1113"/>
      <c r="D54" s="1113"/>
      <c r="E54" s="1113"/>
      <c r="F54" s="1113"/>
      <c r="G54" s="1113"/>
      <c r="H54" s="1113"/>
      <c r="I54" s="1113"/>
      <c r="K54" s="268"/>
      <c r="L54" s="268"/>
      <c r="M54" s="268"/>
      <c r="N54" s="268"/>
      <c r="O54" s="268"/>
      <c r="P54" s="268"/>
      <c r="Q54" s="268"/>
      <c r="R54" s="268"/>
      <c r="S54" s="268"/>
      <c r="T54" s="268"/>
      <c r="U54" s="268"/>
      <c r="V54" s="268"/>
      <c r="W54" s="268"/>
    </row>
    <row r="55" spans="1:45" ht="15.75" x14ac:dyDescent="0.25">
      <c r="A55" s="267"/>
      <c r="B55" s="1113"/>
      <c r="C55" s="1113"/>
      <c r="D55" s="1113"/>
      <c r="E55" s="1113"/>
      <c r="F55" s="1113"/>
      <c r="G55" s="1113"/>
      <c r="H55" s="1113"/>
      <c r="I55" s="1113"/>
      <c r="K55" s="268"/>
      <c r="L55" s="268"/>
      <c r="M55" s="268"/>
      <c r="N55" s="268"/>
      <c r="O55" s="268"/>
      <c r="P55" s="268"/>
      <c r="Q55" s="268"/>
      <c r="R55" s="268"/>
      <c r="S55" s="268"/>
      <c r="T55" s="268"/>
      <c r="U55" s="268"/>
      <c r="V55" s="268"/>
      <c r="W55" s="268"/>
    </row>
    <row r="56" spans="1:45" ht="15.75" x14ac:dyDescent="0.25">
      <c r="A56" s="267"/>
      <c r="B56" s="1113"/>
      <c r="C56" s="1113"/>
      <c r="D56" s="1113"/>
      <c r="E56" s="1113"/>
      <c r="F56" s="1113"/>
      <c r="G56" s="1113"/>
      <c r="H56" s="1113"/>
      <c r="I56" s="1113"/>
      <c r="K56" s="268"/>
      <c r="L56" s="268"/>
      <c r="M56" s="268"/>
      <c r="N56" s="268"/>
      <c r="O56" s="268"/>
      <c r="P56" s="268"/>
      <c r="Q56" s="268"/>
      <c r="R56" s="268"/>
      <c r="S56" s="268"/>
      <c r="T56" s="268"/>
      <c r="U56" s="268"/>
      <c r="V56" s="268"/>
      <c r="W56" s="268"/>
    </row>
    <row r="57" spans="1:45" ht="15.75" x14ac:dyDescent="0.25">
      <c r="A57" s="267"/>
      <c r="B57" s="1113"/>
      <c r="C57" s="1113"/>
      <c r="D57" s="1113"/>
      <c r="E57" s="1113"/>
      <c r="F57" s="1113"/>
      <c r="G57" s="1113"/>
      <c r="H57" s="1113"/>
      <c r="I57" s="1113"/>
      <c r="K57" s="268"/>
      <c r="L57" s="268"/>
      <c r="M57" s="268"/>
      <c r="N57" s="268"/>
      <c r="O57" s="268"/>
      <c r="P57" s="268"/>
      <c r="Q57" s="268"/>
      <c r="R57" s="268"/>
      <c r="S57" s="268"/>
      <c r="T57" s="268"/>
      <c r="U57" s="268"/>
      <c r="V57" s="268"/>
      <c r="W57" s="268"/>
    </row>
    <row r="58" spans="1:45" ht="15.75" x14ac:dyDescent="0.25">
      <c r="A58" s="267"/>
      <c r="B58" s="268"/>
      <c r="C58" s="268"/>
      <c r="D58" s="268"/>
      <c r="E58" s="268"/>
      <c r="F58" s="268"/>
      <c r="G58" s="268"/>
      <c r="H58" s="268"/>
      <c r="I58" s="268"/>
      <c r="K58" s="268"/>
      <c r="L58" s="268"/>
      <c r="M58" s="268"/>
      <c r="N58" s="268"/>
      <c r="O58" s="268"/>
      <c r="P58" s="268"/>
      <c r="Q58" s="268"/>
      <c r="R58" s="268"/>
      <c r="S58" s="268"/>
      <c r="T58" s="268"/>
      <c r="U58" s="268"/>
      <c r="V58" s="268"/>
      <c r="W58" s="268"/>
    </row>
    <row r="59" spans="1:45" ht="15.75" x14ac:dyDescent="0.25">
      <c r="A59" s="267"/>
      <c r="B59" s="268"/>
      <c r="C59" s="268"/>
      <c r="D59" s="268"/>
      <c r="E59" s="268"/>
      <c r="F59" s="268"/>
      <c r="G59" s="268"/>
      <c r="H59" s="268"/>
      <c r="I59" s="268"/>
      <c r="K59" s="268"/>
      <c r="L59" s="268"/>
      <c r="M59" s="268"/>
      <c r="N59" s="268"/>
      <c r="O59" s="268"/>
      <c r="P59" s="268"/>
      <c r="Q59" s="268"/>
      <c r="R59" s="268"/>
      <c r="S59" s="268"/>
      <c r="T59" s="268"/>
      <c r="U59" s="268"/>
      <c r="V59" s="268"/>
      <c r="W59" s="268"/>
    </row>
    <row r="60" spans="1:45" ht="15.75" x14ac:dyDescent="0.25">
      <c r="A60" s="267"/>
      <c r="B60" s="268"/>
      <c r="C60" s="268"/>
      <c r="D60" s="268"/>
      <c r="E60" s="268"/>
      <c r="F60" s="268"/>
      <c r="G60" s="268"/>
      <c r="H60" s="268"/>
      <c r="I60" s="268"/>
      <c r="K60" s="268"/>
      <c r="L60" s="268"/>
      <c r="M60" s="268"/>
      <c r="N60" s="268"/>
      <c r="O60" s="268"/>
      <c r="P60" s="268"/>
      <c r="Q60" s="268"/>
      <c r="R60" s="268"/>
      <c r="S60" s="268"/>
      <c r="T60" s="268"/>
      <c r="U60" s="268"/>
      <c r="V60" s="268"/>
      <c r="W60" s="268"/>
    </row>
    <row r="61" spans="1:45" ht="15.75" x14ac:dyDescent="0.25">
      <c r="A61" s="267"/>
      <c r="B61" s="268"/>
      <c r="C61" s="268"/>
      <c r="D61" s="268"/>
      <c r="E61" s="268"/>
      <c r="F61" s="268"/>
      <c r="G61" s="268"/>
      <c r="H61" s="268"/>
      <c r="I61" s="268"/>
      <c r="K61" s="268"/>
      <c r="L61" s="268"/>
      <c r="M61" s="268"/>
      <c r="N61" s="268"/>
      <c r="O61" s="268"/>
      <c r="P61" s="268"/>
      <c r="Q61" s="268"/>
      <c r="R61" s="268"/>
      <c r="S61" s="268"/>
      <c r="T61" s="268"/>
      <c r="U61" s="268"/>
      <c r="V61" s="268"/>
      <c r="W61" s="268"/>
    </row>
    <row r="62" spans="1:45" ht="15.75" x14ac:dyDescent="0.25">
      <c r="A62" s="267"/>
      <c r="B62" s="268"/>
      <c r="C62" s="268"/>
      <c r="D62" s="268"/>
      <c r="E62" s="268"/>
      <c r="F62" s="268"/>
      <c r="G62" s="268"/>
      <c r="H62" s="268"/>
      <c r="I62" s="268"/>
      <c r="K62" s="268"/>
      <c r="L62" s="268"/>
      <c r="M62" s="268"/>
      <c r="N62" s="268"/>
      <c r="O62" s="268"/>
      <c r="P62" s="268"/>
      <c r="Q62" s="268"/>
      <c r="R62" s="268"/>
      <c r="S62" s="268"/>
      <c r="T62" s="268"/>
      <c r="U62" s="268"/>
      <c r="V62" s="268"/>
      <c r="W62" s="268"/>
    </row>
    <row r="63" spans="1:45" ht="15.75" x14ac:dyDescent="0.25">
      <c r="A63" s="267"/>
      <c r="B63" s="268"/>
      <c r="C63" s="268"/>
      <c r="D63" s="268"/>
      <c r="E63" s="268"/>
      <c r="F63" s="268"/>
      <c r="G63" s="268"/>
      <c r="H63" s="268"/>
      <c r="I63" s="268"/>
      <c r="K63" s="268"/>
      <c r="L63" s="268"/>
      <c r="M63" s="268"/>
      <c r="N63" s="268"/>
      <c r="O63" s="268"/>
      <c r="P63" s="268"/>
      <c r="Q63" s="268"/>
      <c r="R63" s="268"/>
      <c r="S63" s="268"/>
      <c r="T63" s="268"/>
      <c r="U63" s="268"/>
      <c r="V63" s="268"/>
      <c r="W63" s="268"/>
    </row>
    <row r="64" spans="1:45" ht="15.75" x14ac:dyDescent="0.25">
      <c r="A64" s="267"/>
      <c r="B64" s="268"/>
      <c r="C64" s="268"/>
      <c r="D64" s="268"/>
      <c r="E64" s="268"/>
      <c r="F64" s="268"/>
      <c r="G64" s="268"/>
      <c r="H64" s="268"/>
      <c r="I64" s="268"/>
      <c r="K64" s="268"/>
      <c r="L64" s="268"/>
      <c r="M64" s="268"/>
      <c r="N64" s="268"/>
      <c r="O64" s="268"/>
      <c r="P64" s="268"/>
      <c r="Q64" s="268"/>
      <c r="R64" s="268"/>
      <c r="S64" s="268"/>
      <c r="T64" s="268"/>
      <c r="U64" s="268"/>
      <c r="V64" s="268"/>
      <c r="W64" s="268"/>
    </row>
    <row r="65" spans="1:23" ht="15.75" x14ac:dyDescent="0.25">
      <c r="A65" s="267"/>
      <c r="B65" s="268"/>
      <c r="C65" s="268"/>
      <c r="D65" s="268"/>
      <c r="E65" s="268"/>
      <c r="F65" s="268"/>
      <c r="G65" s="268"/>
      <c r="H65" s="268"/>
      <c r="I65" s="268"/>
      <c r="K65" s="268"/>
      <c r="L65" s="268"/>
      <c r="M65" s="268"/>
      <c r="N65" s="268"/>
      <c r="O65" s="268"/>
      <c r="P65" s="268"/>
      <c r="Q65" s="268"/>
      <c r="R65" s="268"/>
      <c r="S65" s="268"/>
      <c r="T65" s="268"/>
      <c r="U65" s="268"/>
      <c r="V65" s="268"/>
      <c r="W65" s="268"/>
    </row>
    <row r="66" spans="1:23" ht="15.75" x14ac:dyDescent="0.25">
      <c r="A66" s="267"/>
      <c r="B66" s="268"/>
      <c r="C66" s="268"/>
      <c r="D66" s="268"/>
      <c r="E66" s="268"/>
      <c r="F66" s="268"/>
      <c r="G66" s="268"/>
      <c r="H66" s="268"/>
      <c r="I66" s="268"/>
      <c r="K66" s="268"/>
      <c r="L66" s="268"/>
      <c r="M66" s="268"/>
      <c r="N66" s="268"/>
      <c r="O66" s="268"/>
      <c r="P66" s="268"/>
      <c r="Q66" s="268"/>
      <c r="R66" s="268"/>
      <c r="S66" s="268"/>
      <c r="T66" s="268"/>
      <c r="U66" s="268"/>
      <c r="V66" s="268"/>
      <c r="W66" s="268"/>
    </row>
    <row r="67" spans="1:23" ht="15.75" x14ac:dyDescent="0.25">
      <c r="A67" s="267"/>
      <c r="B67" s="268"/>
      <c r="C67" s="268"/>
      <c r="D67" s="268"/>
      <c r="E67" s="268"/>
      <c r="F67" s="268"/>
      <c r="G67" s="268"/>
      <c r="H67" s="268"/>
      <c r="I67" s="268"/>
      <c r="K67" s="268"/>
      <c r="L67" s="268"/>
      <c r="M67" s="268"/>
      <c r="N67" s="268"/>
      <c r="O67" s="268"/>
      <c r="P67" s="268"/>
      <c r="Q67" s="268"/>
      <c r="R67" s="268"/>
      <c r="S67" s="268"/>
      <c r="T67" s="268"/>
      <c r="U67" s="268"/>
      <c r="V67" s="268"/>
      <c r="W67" s="268"/>
    </row>
    <row r="68" spans="1:23" ht="15.75" x14ac:dyDescent="0.25">
      <c r="A68" s="267"/>
      <c r="B68" s="268"/>
      <c r="C68" s="268"/>
      <c r="D68" s="268"/>
      <c r="E68" s="268"/>
      <c r="F68" s="268"/>
      <c r="G68" s="268"/>
      <c r="H68" s="268"/>
      <c r="I68" s="268"/>
      <c r="K68" s="268"/>
      <c r="L68" s="268"/>
      <c r="M68" s="268"/>
      <c r="N68" s="268"/>
      <c r="O68" s="268"/>
      <c r="P68" s="268"/>
      <c r="Q68" s="268"/>
      <c r="R68" s="268"/>
      <c r="S68" s="268"/>
      <c r="T68" s="268"/>
      <c r="U68" s="268"/>
      <c r="V68" s="268"/>
      <c r="W68" s="268"/>
    </row>
    <row r="69" spans="1:23" ht="15.75" x14ac:dyDescent="0.25">
      <c r="A69" s="267"/>
      <c r="B69" s="268"/>
      <c r="C69" s="268"/>
      <c r="D69" s="268"/>
      <c r="E69" s="268"/>
      <c r="F69" s="268"/>
      <c r="G69" s="268"/>
      <c r="H69" s="268"/>
      <c r="I69" s="268"/>
      <c r="K69" s="268"/>
      <c r="L69" s="268"/>
      <c r="M69" s="268"/>
      <c r="N69" s="268"/>
      <c r="O69" s="268"/>
      <c r="P69" s="268"/>
      <c r="Q69" s="268"/>
      <c r="R69" s="268"/>
      <c r="S69" s="268"/>
      <c r="T69" s="268"/>
      <c r="U69" s="268"/>
      <c r="V69" s="268"/>
      <c r="W69" s="268"/>
    </row>
    <row r="70" spans="1:23" x14ac:dyDescent="0.25">
      <c r="A70" s="267"/>
      <c r="B70" s="267"/>
      <c r="C70" s="267"/>
      <c r="D70" s="267"/>
      <c r="E70" s="267"/>
      <c r="F70" s="267"/>
      <c r="G70" s="267"/>
      <c r="H70" s="267"/>
      <c r="I70" s="267"/>
    </row>
    <row r="71" spans="1:23" x14ac:dyDescent="0.25">
      <c r="A71" s="267"/>
      <c r="B71" s="267"/>
      <c r="C71" s="267"/>
      <c r="D71" s="267"/>
      <c r="E71" s="267"/>
      <c r="F71" s="267"/>
      <c r="G71" s="267"/>
      <c r="H71" s="267"/>
      <c r="I71" s="267"/>
    </row>
    <row r="72" spans="1:23" x14ac:dyDescent="0.25">
      <c r="A72" s="267"/>
      <c r="B72" s="267"/>
      <c r="C72" s="267"/>
      <c r="D72" s="267"/>
      <c r="E72" s="267"/>
      <c r="F72" s="267"/>
      <c r="G72" s="267"/>
      <c r="H72" s="267"/>
      <c r="I72" s="267"/>
    </row>
    <row r="73" spans="1:23" x14ac:dyDescent="0.25">
      <c r="A73" s="267"/>
      <c r="B73" s="267"/>
      <c r="C73" s="267"/>
      <c r="D73" s="267"/>
      <c r="E73" s="267"/>
      <c r="F73" s="267"/>
      <c r="G73" s="267"/>
      <c r="H73" s="267"/>
      <c r="I73" s="267"/>
    </row>
    <row r="74" spans="1:23" x14ac:dyDescent="0.25">
      <c r="A74" s="267"/>
      <c r="B74" s="267"/>
      <c r="C74" s="267"/>
      <c r="D74" s="267"/>
      <c r="E74" s="267"/>
      <c r="F74" s="267"/>
      <c r="G74" s="267"/>
      <c r="H74" s="267"/>
      <c r="I74" s="267"/>
    </row>
    <row r="75" spans="1:23" x14ac:dyDescent="0.25">
      <c r="A75" s="267"/>
      <c r="B75" s="267"/>
      <c r="C75" s="267"/>
      <c r="D75" s="267"/>
      <c r="E75" s="267"/>
      <c r="F75" s="267"/>
      <c r="G75" s="267"/>
      <c r="H75" s="267"/>
      <c r="I75" s="267"/>
    </row>
    <row r="76" spans="1:23" x14ac:dyDescent="0.25">
      <c r="A76" s="267"/>
      <c r="B76" s="267"/>
      <c r="C76" s="267"/>
      <c r="D76" s="267"/>
      <c r="E76" s="267"/>
      <c r="F76" s="267"/>
      <c r="G76" s="267"/>
      <c r="H76" s="267"/>
      <c r="I76" s="267"/>
    </row>
    <row r="77" spans="1:23" x14ac:dyDescent="0.25">
      <c r="A77" s="267"/>
      <c r="B77" s="267"/>
      <c r="C77" s="267"/>
      <c r="D77" s="267"/>
      <c r="E77" s="267"/>
      <c r="F77" s="267"/>
      <c r="G77" s="267"/>
      <c r="H77" s="267"/>
      <c r="I77" s="267"/>
    </row>
    <row r="78" spans="1:23" x14ac:dyDescent="0.25">
      <c r="A78" s="267"/>
      <c r="B78" s="267"/>
      <c r="C78" s="267"/>
      <c r="D78" s="267"/>
      <c r="E78" s="267"/>
      <c r="F78" s="267"/>
      <c r="G78" s="267"/>
      <c r="H78" s="267"/>
      <c r="I78" s="267"/>
    </row>
    <row r="79" spans="1:23" x14ac:dyDescent="0.25">
      <c r="A79" s="267"/>
      <c r="B79" s="267"/>
      <c r="C79" s="267"/>
      <c r="D79" s="267"/>
      <c r="E79" s="267"/>
      <c r="F79" s="267"/>
      <c r="G79" s="267"/>
      <c r="H79" s="267"/>
      <c r="I79" s="267"/>
    </row>
    <row r="80" spans="1:23" x14ac:dyDescent="0.25">
      <c r="A80" s="267"/>
      <c r="B80" s="267"/>
      <c r="C80" s="267"/>
      <c r="D80" s="267"/>
      <c r="E80" s="267"/>
      <c r="F80" s="267"/>
      <c r="G80" s="267"/>
      <c r="H80" s="267"/>
      <c r="I80" s="267"/>
    </row>
    <row r="81" spans="1:9" x14ac:dyDescent="0.25">
      <c r="A81" s="267"/>
      <c r="B81" s="267"/>
      <c r="C81" s="267"/>
      <c r="D81" s="267"/>
      <c r="E81" s="267"/>
      <c r="F81" s="267"/>
      <c r="G81" s="267"/>
      <c r="H81" s="267"/>
      <c r="I81" s="267"/>
    </row>
    <row r="82" spans="1:9" x14ac:dyDescent="0.25">
      <c r="A82" s="267"/>
      <c r="B82" s="267"/>
      <c r="C82" s="267"/>
      <c r="D82" s="267"/>
      <c r="E82" s="267"/>
      <c r="F82" s="267"/>
      <c r="G82" s="267"/>
      <c r="H82" s="267"/>
      <c r="I82" s="267"/>
    </row>
    <row r="83" spans="1:9" x14ac:dyDescent="0.25">
      <c r="A83" s="267"/>
      <c r="B83" s="267"/>
      <c r="C83" s="267"/>
      <c r="D83" s="267"/>
      <c r="E83" s="267"/>
      <c r="F83" s="267"/>
      <c r="G83" s="267"/>
      <c r="H83" s="267"/>
      <c r="I83" s="267"/>
    </row>
    <row r="84" spans="1:9" x14ac:dyDescent="0.25">
      <c r="A84" s="267"/>
      <c r="B84" s="267"/>
      <c r="C84" s="267"/>
      <c r="D84" s="267"/>
      <c r="E84" s="267"/>
      <c r="F84" s="267"/>
      <c r="G84" s="267"/>
      <c r="H84" s="267"/>
      <c r="I84" s="267"/>
    </row>
    <row r="85" spans="1:9" x14ac:dyDescent="0.25">
      <c r="A85" s="267"/>
      <c r="B85" s="267"/>
      <c r="C85" s="267"/>
      <c r="D85" s="267"/>
      <c r="E85" s="267"/>
      <c r="F85" s="267"/>
      <c r="G85" s="267"/>
      <c r="H85" s="267"/>
      <c r="I85" s="267"/>
    </row>
    <row r="86" spans="1:9" x14ac:dyDescent="0.25">
      <c r="A86" s="267"/>
      <c r="B86" s="267"/>
      <c r="C86" s="267"/>
      <c r="D86" s="267"/>
      <c r="E86" s="267"/>
      <c r="F86" s="267"/>
      <c r="G86" s="267"/>
      <c r="H86" s="267"/>
      <c r="I86" s="267"/>
    </row>
    <row r="87" spans="1:9" x14ac:dyDescent="0.25">
      <c r="A87" s="267"/>
      <c r="B87" s="267"/>
      <c r="C87" s="267"/>
      <c r="D87" s="267"/>
      <c r="E87" s="267"/>
      <c r="F87" s="267"/>
      <c r="G87" s="267"/>
      <c r="H87" s="267"/>
      <c r="I87" s="267"/>
    </row>
    <row r="88" spans="1:9" x14ac:dyDescent="0.25">
      <c r="A88" s="267"/>
      <c r="B88" s="267"/>
      <c r="C88" s="267"/>
      <c r="D88" s="267"/>
      <c r="E88" s="267"/>
      <c r="F88" s="267"/>
      <c r="G88" s="267"/>
      <c r="H88" s="267"/>
      <c r="I88" s="267"/>
    </row>
    <row r="89" spans="1:9" x14ac:dyDescent="0.25">
      <c r="A89" s="267"/>
      <c r="B89" s="267"/>
      <c r="C89" s="267"/>
      <c r="D89" s="267"/>
      <c r="E89" s="267"/>
      <c r="F89" s="267"/>
      <c r="G89" s="267"/>
      <c r="H89" s="267"/>
      <c r="I89" s="267"/>
    </row>
    <row r="90" spans="1:9" x14ac:dyDescent="0.25">
      <c r="A90" s="267"/>
      <c r="B90" s="267"/>
      <c r="C90" s="267"/>
      <c r="D90" s="267"/>
      <c r="E90" s="267"/>
      <c r="F90" s="267"/>
      <c r="G90" s="267"/>
      <c r="H90" s="267"/>
      <c r="I90" s="267"/>
    </row>
    <row r="91" spans="1:9" x14ac:dyDescent="0.25">
      <c r="A91" s="267"/>
      <c r="B91" s="267"/>
      <c r="C91" s="267"/>
      <c r="D91" s="267"/>
      <c r="E91" s="267"/>
      <c r="F91" s="267"/>
      <c r="G91" s="267"/>
      <c r="H91" s="267"/>
      <c r="I91" s="267"/>
    </row>
    <row r="92" spans="1:9" x14ac:dyDescent="0.25">
      <c r="A92" s="267"/>
      <c r="B92" s="267"/>
      <c r="C92" s="267"/>
      <c r="D92" s="267"/>
      <c r="E92" s="267"/>
      <c r="F92" s="267"/>
      <c r="G92" s="267"/>
      <c r="H92" s="267"/>
      <c r="I92" s="267"/>
    </row>
    <row r="93" spans="1:9" x14ac:dyDescent="0.25">
      <c r="A93" s="267"/>
      <c r="B93" s="267"/>
      <c r="C93" s="267"/>
      <c r="D93" s="267"/>
      <c r="E93" s="267"/>
      <c r="F93" s="267"/>
      <c r="G93" s="267"/>
      <c r="H93" s="267"/>
      <c r="I93" s="267"/>
    </row>
    <row r="94" spans="1:9" x14ac:dyDescent="0.25">
      <c r="A94" s="267"/>
      <c r="B94" s="267"/>
      <c r="C94" s="267"/>
      <c r="D94" s="267"/>
      <c r="E94" s="267"/>
      <c r="F94" s="267"/>
      <c r="G94" s="267"/>
      <c r="H94" s="267"/>
      <c r="I94" s="267"/>
    </row>
    <row r="95" spans="1:9" x14ac:dyDescent="0.25">
      <c r="A95" s="267"/>
      <c r="B95" s="267"/>
      <c r="C95" s="267"/>
      <c r="D95" s="267"/>
      <c r="E95" s="267"/>
      <c r="F95" s="267"/>
      <c r="G95" s="267"/>
      <c r="H95" s="267"/>
      <c r="I95" s="267"/>
    </row>
    <row r="96" spans="1:9" x14ac:dyDescent="0.25">
      <c r="A96" s="267"/>
      <c r="B96" s="267"/>
      <c r="C96" s="267"/>
      <c r="D96" s="267"/>
      <c r="E96" s="267"/>
      <c r="F96" s="267"/>
      <c r="G96" s="267"/>
      <c r="H96" s="267"/>
      <c r="I96" s="267"/>
    </row>
  </sheetData>
  <sheetProtection algorithmName="SHA-512" hashValue="f97mAmjxtq4+wDbj+dIa5JkTte2CY0IDXfmZhViBuZYzU1Nx7lQJbIEc0OLHwgBiFn5vyFVslUhbKeZMslMdug==" saltValue="r2w2j6iPLOKDQpaKZlUQAg==" spinCount="100000" sheet="1" objects="1" scenarios="1"/>
  <mergeCells count="210">
    <mergeCell ref="L32:R32"/>
    <mergeCell ref="S32:T32"/>
    <mergeCell ref="L33:R33"/>
    <mergeCell ref="N50:R50"/>
    <mergeCell ref="S50:T50"/>
    <mergeCell ref="S38:T38"/>
    <mergeCell ref="M39:R39"/>
    <mergeCell ref="S39:T39"/>
    <mergeCell ref="M34:R34"/>
    <mergeCell ref="S34:T34"/>
    <mergeCell ref="M35:R35"/>
    <mergeCell ref="S35:T35"/>
    <mergeCell ref="M36:R36"/>
    <mergeCell ref="S36:T36"/>
    <mergeCell ref="S33:T33"/>
    <mergeCell ref="L51:R51"/>
    <mergeCell ref="S51:T51"/>
    <mergeCell ref="Q8:R8"/>
    <mergeCell ref="M46:R46"/>
    <mergeCell ref="S46:T46"/>
    <mergeCell ref="L47:R47"/>
    <mergeCell ref="S47:T47"/>
    <mergeCell ref="L49:R49"/>
    <mergeCell ref="S49:T49"/>
    <mergeCell ref="M43:R43"/>
    <mergeCell ref="S43:T43"/>
    <mergeCell ref="M44:R44"/>
    <mergeCell ref="S44:T44"/>
    <mergeCell ref="M45:R45"/>
    <mergeCell ref="S45:T45"/>
    <mergeCell ref="M40:R40"/>
    <mergeCell ref="S40:T40"/>
    <mergeCell ref="M41:R41"/>
    <mergeCell ref="S41:T41"/>
    <mergeCell ref="M42:R42"/>
    <mergeCell ref="S42:T42"/>
    <mergeCell ref="M37:R37"/>
    <mergeCell ref="S37:T37"/>
    <mergeCell ref="M38:R38"/>
    <mergeCell ref="L10:T10"/>
    <mergeCell ref="U10:U11"/>
    <mergeCell ref="M30:R30"/>
    <mergeCell ref="S30:T30"/>
    <mergeCell ref="B37:G37"/>
    <mergeCell ref="H36:I36"/>
    <mergeCell ref="H37:I37"/>
    <mergeCell ref="B36:G36"/>
    <mergeCell ref="A32:G32"/>
    <mergeCell ref="A33:G33"/>
    <mergeCell ref="H34:I34"/>
    <mergeCell ref="H35:I35"/>
    <mergeCell ref="B35:G35"/>
    <mergeCell ref="B31:G31"/>
    <mergeCell ref="B34:G34"/>
    <mergeCell ref="H30:I30"/>
    <mergeCell ref="H31:I31"/>
    <mergeCell ref="H32:I32"/>
    <mergeCell ref="H33:I33"/>
    <mergeCell ref="J10:J11"/>
    <mergeCell ref="B30:G30"/>
    <mergeCell ref="M31:R31"/>
    <mergeCell ref="S31:T31"/>
    <mergeCell ref="A10:I10"/>
    <mergeCell ref="A52:I52"/>
    <mergeCell ref="A51:G51"/>
    <mergeCell ref="H51:I51"/>
    <mergeCell ref="B41:G41"/>
    <mergeCell ref="B42:G42"/>
    <mergeCell ref="B43:G43"/>
    <mergeCell ref="H45:I45"/>
    <mergeCell ref="H46:I46"/>
    <mergeCell ref="B45:G45"/>
    <mergeCell ref="B46:G46"/>
    <mergeCell ref="H44:I44"/>
    <mergeCell ref="H49:I49"/>
    <mergeCell ref="A49:G49"/>
    <mergeCell ref="C50:G50"/>
    <mergeCell ref="B40:G40"/>
    <mergeCell ref="B44:G44"/>
    <mergeCell ref="H50:I50"/>
    <mergeCell ref="A47:G47"/>
    <mergeCell ref="B38:G38"/>
    <mergeCell ref="B39:G39"/>
    <mergeCell ref="H38:I38"/>
    <mergeCell ref="H40:I40"/>
    <mergeCell ref="H43:I43"/>
    <mergeCell ref="H47:I47"/>
    <mergeCell ref="H41:I41"/>
    <mergeCell ref="H42:I42"/>
    <mergeCell ref="H39:I39"/>
    <mergeCell ref="A3:I3"/>
    <mergeCell ref="A5:E5"/>
    <mergeCell ref="A6:E6"/>
    <mergeCell ref="A8:E8"/>
    <mergeCell ref="A2:I2"/>
    <mergeCell ref="F8:G8"/>
    <mergeCell ref="A4:I4"/>
    <mergeCell ref="L2:T2"/>
    <mergeCell ref="L3:T3"/>
    <mergeCell ref="L4:T5"/>
    <mergeCell ref="A7:E7"/>
    <mergeCell ref="Q7:R7"/>
    <mergeCell ref="L8:P8"/>
    <mergeCell ref="L6:R6"/>
    <mergeCell ref="L7:P7"/>
    <mergeCell ref="B54:I57"/>
    <mergeCell ref="W2:AE2"/>
    <mergeCell ref="W3:AE3"/>
    <mergeCell ref="W4:AE5"/>
    <mergeCell ref="W6:AC6"/>
    <mergeCell ref="W7:AA7"/>
    <mergeCell ref="AB7:AC7"/>
    <mergeCell ref="W8:AA8"/>
    <mergeCell ref="AB8:AC8"/>
    <mergeCell ref="W10:AE10"/>
    <mergeCell ref="X34:AC34"/>
    <mergeCell ref="AD34:AE34"/>
    <mergeCell ref="X35:AC35"/>
    <mergeCell ref="AD35:AE35"/>
    <mergeCell ref="X36:AC36"/>
    <mergeCell ref="AD36:AE36"/>
    <mergeCell ref="X37:AC37"/>
    <mergeCell ref="AD37:AE37"/>
    <mergeCell ref="X38:AC38"/>
    <mergeCell ref="AD38:AE38"/>
    <mergeCell ref="X39:AC39"/>
    <mergeCell ref="AD39:AE39"/>
    <mergeCell ref="X40:AC40"/>
    <mergeCell ref="AD40:AE40"/>
    <mergeCell ref="W47:AC47"/>
    <mergeCell ref="AD47:AE47"/>
    <mergeCell ref="W49:AC49"/>
    <mergeCell ref="AD49:AE49"/>
    <mergeCell ref="Y50:AC50"/>
    <mergeCell ref="AD50:AE50"/>
    <mergeCell ref="W51:AC51"/>
    <mergeCell ref="AD51:AE51"/>
    <mergeCell ref="X41:AC41"/>
    <mergeCell ref="AD41:AE41"/>
    <mergeCell ref="X42:AC42"/>
    <mergeCell ref="AD42:AE42"/>
    <mergeCell ref="X43:AC43"/>
    <mergeCell ref="AD43:AE43"/>
    <mergeCell ref="X44:AC44"/>
    <mergeCell ref="AD44:AE44"/>
    <mergeCell ref="X45:AC45"/>
    <mergeCell ref="AD45:AE45"/>
    <mergeCell ref="AH2:AP2"/>
    <mergeCell ref="AH3:AP3"/>
    <mergeCell ref="AH7:AL7"/>
    <mergeCell ref="AM7:AN7"/>
    <mergeCell ref="AH8:AL8"/>
    <mergeCell ref="AM8:AN8"/>
    <mergeCell ref="AH10:AP10"/>
    <mergeCell ref="X46:AC46"/>
    <mergeCell ref="AD46:AE46"/>
    <mergeCell ref="AF10:AF11"/>
    <mergeCell ref="X30:AC30"/>
    <mergeCell ref="AD30:AE30"/>
    <mergeCell ref="X31:AC31"/>
    <mergeCell ref="AD31:AE31"/>
    <mergeCell ref="W32:AC32"/>
    <mergeCell ref="AD32:AE32"/>
    <mergeCell ref="W33:AC33"/>
    <mergeCell ref="AD33:AE33"/>
    <mergeCell ref="AI43:AN43"/>
    <mergeCell ref="AO43:AP43"/>
    <mergeCell ref="AI34:AN34"/>
    <mergeCell ref="AO34:AP34"/>
    <mergeCell ref="AI35:AN35"/>
    <mergeCell ref="AO35:AP35"/>
    <mergeCell ref="AJ50:AN50"/>
    <mergeCell ref="AO50:AP50"/>
    <mergeCell ref="AH51:AN51"/>
    <mergeCell ref="AO51:AP51"/>
    <mergeCell ref="AH49:AN49"/>
    <mergeCell ref="AO49:AP49"/>
    <mergeCell ref="AQ10:AQ11"/>
    <mergeCell ref="AI30:AN30"/>
    <mergeCell ref="AO30:AP30"/>
    <mergeCell ref="AI31:AN31"/>
    <mergeCell ref="AO31:AP31"/>
    <mergeCell ref="AH32:AN32"/>
    <mergeCell ref="AO32:AP32"/>
    <mergeCell ref="AH33:AN33"/>
    <mergeCell ref="AO33:AP33"/>
    <mergeCell ref="AH4:AP6"/>
    <mergeCell ref="AO7:AP8"/>
    <mergeCell ref="AI44:AN44"/>
    <mergeCell ref="AO44:AP44"/>
    <mergeCell ref="AI45:AN45"/>
    <mergeCell ref="AO45:AP45"/>
    <mergeCell ref="AI46:AN46"/>
    <mergeCell ref="AO46:AP46"/>
    <mergeCell ref="AH47:AN47"/>
    <mergeCell ref="AO47:AP47"/>
    <mergeCell ref="AI39:AN39"/>
    <mergeCell ref="AO39:AP39"/>
    <mergeCell ref="AI40:AN40"/>
    <mergeCell ref="AO40:AP40"/>
    <mergeCell ref="AI41:AN41"/>
    <mergeCell ref="AO41:AP41"/>
    <mergeCell ref="AI42:AN42"/>
    <mergeCell ref="AO42:AP42"/>
    <mergeCell ref="AI36:AN36"/>
    <mergeCell ref="AO36:AP36"/>
    <mergeCell ref="AI37:AN37"/>
    <mergeCell ref="AO37:AP37"/>
    <mergeCell ref="AI38:AN38"/>
    <mergeCell ref="AO38:AP38"/>
  </mergeCells>
  <dataValidations count="3">
    <dataValidation type="list" allowBlank="1" showInputMessage="1" showErrorMessage="1" sqref="I7" xr:uid="{00000000-0002-0000-0200-000000000000}">
      <formula1>"2022, 2023"</formula1>
    </dataValidation>
    <dataValidation type="list" allowBlank="1" showInputMessage="1" showErrorMessage="1" sqref="H7" xr:uid="{00000000-0002-0000-0200-000001000000}">
      <formula1>"Jan, Feb, Mar, Apr, May, June, July, Aug, Sept, Oct, Nov, Dec"</formula1>
    </dataValidation>
    <dataValidation type="whole" operator="lessThan" allowBlank="1" showInputMessage="1" showErrorMessage="1" errorTitle="Month in Period 1 Exceed Limit" error="Months in Period 1 cannot exceed 12_x000a_" sqref="H8 S8 AD8" xr:uid="{00000000-0002-0000-0200-000002000000}">
      <formula1>13</formula1>
    </dataValidation>
  </dataValidations>
  <pageMargins left="0.25" right="0.25" top="0.5" bottom="0.5" header="0.3" footer="0.3"/>
  <pageSetup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'F&amp;ARatesCalc'!$A$3:$A$5</xm:f>
          </x14:formula1>
          <xm:sqref>G5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7" tint="0.59999389629810485"/>
  </sheetPr>
  <dimension ref="A1:AB116"/>
  <sheetViews>
    <sheetView zoomScale="80" zoomScaleNormal="80" workbookViewId="0">
      <pane ySplit="5" topLeftCell="A57" activePane="bottomLeft" state="frozen"/>
      <selection pane="bottomLeft" activeCell="H66" sqref="H66:H67"/>
    </sheetView>
  </sheetViews>
  <sheetFormatPr defaultRowHeight="15" x14ac:dyDescent="0.25"/>
  <cols>
    <col min="1" max="1" width="5.140625" style="3" customWidth="1"/>
    <col min="2" max="2" width="16" style="3" customWidth="1"/>
    <col min="3" max="3" width="17.140625" style="3" customWidth="1"/>
    <col min="4" max="4" width="17.5703125" style="3" customWidth="1"/>
    <col min="5" max="5" width="14" style="3" customWidth="1"/>
    <col min="6" max="6" width="12.28515625" style="3" customWidth="1"/>
    <col min="7" max="7" width="10.140625" style="3" customWidth="1"/>
    <col min="8" max="8" width="13.140625" style="3" customWidth="1"/>
    <col min="9" max="9" width="15.85546875" style="3" customWidth="1"/>
    <col min="10" max="10" width="1.85546875" style="3" customWidth="1"/>
    <col min="11" max="11" width="4.5703125" style="3" customWidth="1"/>
    <col min="12" max="12" width="17.7109375" style="3" customWidth="1"/>
    <col min="13" max="13" width="14" style="3" customWidth="1"/>
    <col min="14" max="14" width="12" style="3" customWidth="1"/>
    <col min="15" max="15" width="10.140625" style="3" customWidth="1"/>
    <col min="16" max="16" width="13.140625" style="3" customWidth="1"/>
    <col min="17" max="17" width="15.7109375" style="3" customWidth="1"/>
    <col min="18" max="18" width="1.85546875" style="3" customWidth="1"/>
    <col min="19" max="19" width="4.5703125" style="3" customWidth="1"/>
    <col min="20" max="20" width="17.7109375" style="3" customWidth="1"/>
    <col min="21" max="21" width="14" style="3" customWidth="1"/>
    <col min="22" max="22" width="12.28515625" style="3" customWidth="1"/>
    <col min="23" max="23" width="10.140625" style="3" customWidth="1"/>
    <col min="24" max="24" width="13" style="3" customWidth="1"/>
    <col min="25" max="25" width="15.7109375" style="3" customWidth="1"/>
    <col min="26" max="26" width="1.85546875" style="3" customWidth="1"/>
    <col min="27" max="27" width="14.5703125" style="3" customWidth="1"/>
    <col min="28" max="28" width="25.140625" style="3" customWidth="1"/>
    <col min="29" max="16384" width="9.140625" style="3"/>
  </cols>
  <sheetData>
    <row r="1" spans="1:28" ht="21.75" thickBot="1" x14ac:dyDescent="0.4">
      <c r="A1" s="387" t="s">
        <v>243</v>
      </c>
      <c r="C1" s="267"/>
      <c r="D1" s="816" t="str">
        <f>"Period 1"&amp;":"&amp;" "&amp;C4&amp;" "&amp;"1,"&amp;" "&amp;" "&amp;C5&amp;"-"&amp;" "&amp;PersonCalcYr2!K4&amp;" "&amp;PersonCalcYr2!N4&amp;","&amp;" "&amp;PersonCalcYr2!M4</f>
        <v>Period 1: Sept 1,  2022- Aug 31, 2023</v>
      </c>
      <c r="F1" s="1194" t="s">
        <v>529</v>
      </c>
      <c r="G1" s="1194"/>
      <c r="H1" s="1193" t="str">
        <f>BudgetSummaryDetailed!G5</f>
        <v>RESEARCH</v>
      </c>
      <c r="I1" s="1193"/>
      <c r="K1" s="817" t="str">
        <f>"Period 2"&amp;":"&amp;" "&amp;M4&amp;" "&amp;"1,"&amp;" "&amp;M5&amp;" "&amp;"-"&amp;" "&amp;PersonCalcYr2!K5&amp;" "&amp;PersonCalcYr2!N5&amp;","&amp;" "&amp;PersonCalcYr2!M5</f>
        <v>Period 2: Sept 1, 2023 - Aug 31, 2024</v>
      </c>
      <c r="L1" s="702"/>
      <c r="N1" s="1197" t="s">
        <v>591</v>
      </c>
      <c r="O1" s="1198"/>
      <c r="P1" s="1187">
        <f>BudgetSummaryDetailed!S49</f>
        <v>0</v>
      </c>
      <c r="Q1" s="1188"/>
      <c r="S1" s="817" t="str">
        <f>"Period 3"&amp;":"&amp;" "&amp;U4&amp;" "&amp;"1,"&amp;" "&amp;U5&amp;" "&amp;"-"&amp;" "&amp;PersonCalcYr2!K6&amp;" "&amp;PersonCalcYr2!N6&amp;","&amp;" "&amp;PersonCalcYr2!M6</f>
        <v>Period 3: Sept 1, 2024 - Aug 31, 2025</v>
      </c>
      <c r="T1" s="702"/>
      <c r="V1" s="1066" t="s">
        <v>649</v>
      </c>
      <c r="W1" s="1186"/>
      <c r="X1" s="1187">
        <f>BudgetSummaryDetailed!AD49</f>
        <v>0</v>
      </c>
      <c r="Y1" s="1188"/>
      <c r="Z1" s="406"/>
      <c r="AA1" s="891" t="s">
        <v>696</v>
      </c>
    </row>
    <row r="2" spans="1:28" s="458" customFormat="1" ht="16.5" customHeight="1" thickBot="1" x14ac:dyDescent="0.3">
      <c r="A2" s="900" t="s">
        <v>714</v>
      </c>
      <c r="B2" s="902"/>
      <c r="C2" s="902"/>
      <c r="D2" s="902"/>
      <c r="E2" s="902"/>
      <c r="F2" s="902"/>
      <c r="G2" s="902"/>
      <c r="H2" s="902"/>
      <c r="I2" s="902"/>
      <c r="N2" s="1189" t="s">
        <v>592</v>
      </c>
      <c r="O2" s="1190"/>
      <c r="P2" s="1191">
        <f>BudgetSummaryDetailed!S50</f>
        <v>0</v>
      </c>
      <c r="Q2" s="1192"/>
      <c r="V2" s="1189" t="s">
        <v>650</v>
      </c>
      <c r="W2" s="1190"/>
      <c r="X2" s="1191">
        <f>BudgetSummaryDetailed!AD50</f>
        <v>0</v>
      </c>
      <c r="Y2" s="1192"/>
      <c r="Z2" s="843"/>
      <c r="AA2" s="901" t="s">
        <v>697</v>
      </c>
      <c r="AB2" s="892">
        <f>H3+P1+X1</f>
        <v>0</v>
      </c>
    </row>
    <row r="3" spans="1:28" s="458" customFormat="1" ht="16.5" thickBot="1" x14ac:dyDescent="0.3">
      <c r="A3" s="958" t="s">
        <v>715</v>
      </c>
      <c r="C3" s="270"/>
      <c r="D3" s="270"/>
      <c r="E3" s="270"/>
      <c r="F3" s="1189" t="s">
        <v>454</v>
      </c>
      <c r="G3" s="1190"/>
      <c r="H3" s="1195">
        <f>BudgetSummaryDetailed!H49:I49</f>
        <v>0</v>
      </c>
      <c r="I3" s="1196"/>
      <c r="K3" s="738"/>
      <c r="L3" s="270"/>
      <c r="M3" s="270"/>
      <c r="N3" s="903"/>
      <c r="O3" s="740" t="s">
        <v>593</v>
      </c>
      <c r="P3" s="1191">
        <f>BudgetSummaryDetailed!S51</f>
        <v>0</v>
      </c>
      <c r="Q3" s="1192"/>
      <c r="R3" s="686"/>
      <c r="S3" s="738"/>
      <c r="T3" s="270"/>
      <c r="U3" s="270"/>
      <c r="V3" s="903"/>
      <c r="W3" s="740" t="s">
        <v>651</v>
      </c>
      <c r="X3" s="1191">
        <f>BudgetSummaryDetailed!AD51</f>
        <v>0</v>
      </c>
      <c r="Y3" s="1192"/>
      <c r="Z3" s="843"/>
      <c r="AA3" s="901" t="s">
        <v>698</v>
      </c>
      <c r="AB3" s="894">
        <f>H4+P2+X2</f>
        <v>0</v>
      </c>
    </row>
    <row r="4" spans="1:28" ht="16.5" thickBot="1" x14ac:dyDescent="0.3">
      <c r="A4" s="636" t="s">
        <v>437</v>
      </c>
      <c r="B4" s="385" t="s">
        <v>14</v>
      </c>
      <c r="C4" s="459" t="str">
        <f>BudgetSummaryDetailed!H7</f>
        <v>Sept</v>
      </c>
      <c r="E4" s="1184">
        <f>BudgetSummaryDetailed!H8</f>
        <v>12</v>
      </c>
      <c r="F4" s="1189" t="s">
        <v>455</v>
      </c>
      <c r="G4" s="1190"/>
      <c r="H4" s="1191">
        <f>BudgetSummaryDetailed!H50:I50</f>
        <v>0</v>
      </c>
      <c r="I4" s="1192"/>
      <c r="J4" s="739"/>
      <c r="K4" s="578" t="s">
        <v>437</v>
      </c>
      <c r="L4" s="740" t="s">
        <v>14</v>
      </c>
      <c r="M4" s="459" t="str">
        <f>PersonCalcYr2!C4</f>
        <v>Sept</v>
      </c>
      <c r="N4" s="301"/>
      <c r="O4" s="301"/>
      <c r="P4" s="301"/>
      <c r="Q4" s="1184">
        <f>BudgetSummaryDetailed!S8</f>
        <v>12</v>
      </c>
      <c r="R4" s="687"/>
      <c r="S4" s="578" t="s">
        <v>437</v>
      </c>
      <c r="T4" s="740" t="s">
        <v>14</v>
      </c>
      <c r="U4" s="459" t="str">
        <f>PersonCalcYr3!C4</f>
        <v>Sept</v>
      </c>
      <c r="V4" s="301"/>
      <c r="W4" s="301"/>
      <c r="X4" s="301"/>
      <c r="Y4" s="1184">
        <f>BudgetSummaryDetailed!AD8</f>
        <v>12</v>
      </c>
      <c r="Z4" s="406"/>
      <c r="AA4" s="901" t="s">
        <v>699</v>
      </c>
      <c r="AB4" s="893">
        <f>AB2+AB3</f>
        <v>0</v>
      </c>
    </row>
    <row r="5" spans="1:28" ht="15.75" thickBot="1" x14ac:dyDescent="0.3">
      <c r="A5" s="637" t="s">
        <v>436</v>
      </c>
      <c r="B5" s="464" t="s">
        <v>15</v>
      </c>
      <c r="C5" s="469">
        <f>BudgetSummaryDetailed!I7</f>
        <v>2022</v>
      </c>
      <c r="D5" s="464" t="s">
        <v>18</v>
      </c>
      <c r="E5" s="1185"/>
      <c r="F5" s="555"/>
      <c r="G5" s="464" t="s">
        <v>435</v>
      </c>
      <c r="H5" s="1191">
        <f>BudgetSummaryDetailed!H51:I51</f>
        <v>0</v>
      </c>
      <c r="I5" s="1192"/>
      <c r="J5" s="741"/>
      <c r="K5" s="637" t="s">
        <v>436</v>
      </c>
      <c r="L5" s="464" t="s">
        <v>15</v>
      </c>
      <c r="M5" s="469">
        <f>PersonCalcYr2!D4</f>
        <v>2023</v>
      </c>
      <c r="N5" s="302"/>
      <c r="O5" s="302"/>
      <c r="P5" s="464" t="s">
        <v>587</v>
      </c>
      <c r="Q5" s="1185"/>
      <c r="R5" s="687"/>
      <c r="S5" s="637" t="s">
        <v>436</v>
      </c>
      <c r="T5" s="464" t="s">
        <v>15</v>
      </c>
      <c r="U5" s="469">
        <f>PersonCalcYr3!D4</f>
        <v>2024</v>
      </c>
      <c r="V5" s="302"/>
      <c r="W5" s="302"/>
      <c r="X5" s="464" t="s">
        <v>647</v>
      </c>
      <c r="Y5" s="1185"/>
      <c r="Z5" s="406"/>
    </row>
    <row r="6" spans="1:28" ht="6" customHeight="1" x14ac:dyDescent="0.25">
      <c r="A6" s="2"/>
      <c r="B6" s="409"/>
      <c r="C6" s="300"/>
      <c r="D6" s="132"/>
      <c r="E6" s="300"/>
      <c r="K6" s="2"/>
      <c r="L6" s="132"/>
      <c r="M6" s="300"/>
      <c r="S6" s="2"/>
      <c r="T6" s="132"/>
      <c r="U6" s="300"/>
      <c r="Z6" s="406"/>
    </row>
    <row r="7" spans="1:28" ht="12.75" customHeight="1" thickBot="1" x14ac:dyDescent="0.3">
      <c r="A7" s="904"/>
      <c r="B7" s="905" t="s">
        <v>536</v>
      </c>
      <c r="C7" s="906"/>
      <c r="D7" s="906"/>
      <c r="E7" s="906"/>
      <c r="F7" s="906"/>
      <c r="G7" s="906"/>
      <c r="H7" s="906"/>
      <c r="I7" s="906" t="s">
        <v>433</v>
      </c>
      <c r="K7" s="904"/>
      <c r="L7" s="905" t="s">
        <v>626</v>
      </c>
      <c r="M7" s="906"/>
      <c r="N7" s="906"/>
      <c r="O7" s="907"/>
      <c r="P7" s="906"/>
      <c r="Q7" s="907" t="s">
        <v>596</v>
      </c>
      <c r="S7" s="904"/>
      <c r="T7" s="905" t="s">
        <v>626</v>
      </c>
      <c r="U7" s="906"/>
      <c r="V7" s="906"/>
      <c r="W7" s="907"/>
      <c r="X7" s="906"/>
      <c r="Y7" s="907" t="s">
        <v>654</v>
      </c>
      <c r="Z7" s="406"/>
    </row>
    <row r="8" spans="1:28" ht="12.75" customHeight="1" x14ac:dyDescent="0.25">
      <c r="A8" s="1178">
        <v>1</v>
      </c>
      <c r="B8" s="909"/>
      <c r="C8" s="554"/>
      <c r="D8" s="554"/>
      <c r="E8" s="557"/>
      <c r="F8" s="554"/>
      <c r="G8" s="554"/>
      <c r="H8" s="910" t="s">
        <v>414</v>
      </c>
      <c r="I8" s="911">
        <f>PersonCalcYr1!AR9</f>
        <v>0</v>
      </c>
      <c r="J8" s="267"/>
      <c r="K8" s="1178">
        <v>1</v>
      </c>
      <c r="L8" s="554"/>
      <c r="M8" s="554"/>
      <c r="N8" s="554"/>
      <c r="O8" s="554"/>
      <c r="P8" s="910" t="s">
        <v>414</v>
      </c>
      <c r="Q8" s="911">
        <f>PersonCalcYr2!BD9</f>
        <v>0</v>
      </c>
      <c r="R8" s="742"/>
      <c r="S8" s="1178">
        <v>1</v>
      </c>
      <c r="T8" s="554"/>
      <c r="U8" s="554"/>
      <c r="V8" s="554"/>
      <c r="W8" s="554"/>
      <c r="X8" s="910" t="s">
        <v>414</v>
      </c>
      <c r="Y8" s="911">
        <f>PersonCalcYr3!BN9</f>
        <v>0</v>
      </c>
      <c r="Z8" s="406"/>
    </row>
    <row r="9" spans="1:28" ht="12.75" customHeight="1" x14ac:dyDescent="0.25">
      <c r="A9" s="1179"/>
      <c r="B9" s="316" t="s">
        <v>238</v>
      </c>
      <c r="C9" s="912" t="s">
        <v>54</v>
      </c>
      <c r="D9" s="553" t="s">
        <v>438</v>
      </c>
      <c r="E9" s="912" t="s">
        <v>429</v>
      </c>
      <c r="F9" s="553" t="s">
        <v>434</v>
      </c>
      <c r="G9" s="913">
        <v>0</v>
      </c>
      <c r="H9" s="740" t="s">
        <v>443</v>
      </c>
      <c r="I9" s="914">
        <f>PersonCalcYr1!AR15</f>
        <v>0</v>
      </c>
      <c r="J9" s="267"/>
      <c r="K9" s="1179"/>
      <c r="L9" s="553" t="s">
        <v>438</v>
      </c>
      <c r="M9" s="912" t="str">
        <f>E9</f>
        <v>YES</v>
      </c>
      <c r="N9" s="553" t="s">
        <v>434</v>
      </c>
      <c r="O9" s="913">
        <f>G9</f>
        <v>0</v>
      </c>
      <c r="P9" s="740" t="s">
        <v>443</v>
      </c>
      <c r="Q9" s="914">
        <f>PersonCalcYr2!BD17</f>
        <v>0</v>
      </c>
      <c r="R9" s="742"/>
      <c r="S9" s="1179"/>
      <c r="T9" s="553" t="s">
        <v>438</v>
      </c>
      <c r="U9" s="912" t="str">
        <f>M9</f>
        <v>YES</v>
      </c>
      <c r="V9" s="553" t="s">
        <v>434</v>
      </c>
      <c r="W9" s="913">
        <f>O9</f>
        <v>0</v>
      </c>
      <c r="X9" s="740" t="s">
        <v>443</v>
      </c>
      <c r="Y9" s="914">
        <f>PersonCalcYr3!BN19</f>
        <v>0</v>
      </c>
      <c r="Z9" s="406"/>
    </row>
    <row r="10" spans="1:28" ht="12.75" customHeight="1" x14ac:dyDescent="0.25">
      <c r="A10" s="1179"/>
      <c r="B10" s="316" t="s">
        <v>174</v>
      </c>
      <c r="C10" s="915"/>
      <c r="D10" s="553" t="s">
        <v>426</v>
      </c>
      <c r="E10" s="916"/>
      <c r="F10" s="553" t="s">
        <v>119</v>
      </c>
      <c r="G10" s="917">
        <v>10</v>
      </c>
      <c r="H10" s="740" t="s">
        <v>422</v>
      </c>
      <c r="I10" s="914">
        <f>PersonCalcYr1!AR16</f>
        <v>0</v>
      </c>
      <c r="J10" s="267"/>
      <c r="K10" s="1179"/>
      <c r="L10" s="553" t="s">
        <v>426</v>
      </c>
      <c r="M10" s="916">
        <f>E10</f>
        <v>0</v>
      </c>
      <c r="N10" s="553" t="s">
        <v>119</v>
      </c>
      <c r="O10" s="917">
        <f>G10</f>
        <v>10</v>
      </c>
      <c r="P10" s="740" t="s">
        <v>422</v>
      </c>
      <c r="Q10" s="914">
        <f>PersonCalcYr2!BD18</f>
        <v>0</v>
      </c>
      <c r="R10" s="742"/>
      <c r="S10" s="1179"/>
      <c r="T10" s="553" t="s">
        <v>426</v>
      </c>
      <c r="U10" s="916">
        <f>M10</f>
        <v>0</v>
      </c>
      <c r="V10" s="553" t="s">
        <v>119</v>
      </c>
      <c r="W10" s="917">
        <f>O10</f>
        <v>10</v>
      </c>
      <c r="X10" s="740" t="s">
        <v>422</v>
      </c>
      <c r="Y10" s="914">
        <f>PersonCalcYr3!BN20</f>
        <v>0</v>
      </c>
      <c r="Z10" s="406"/>
    </row>
    <row r="11" spans="1:28" ht="12.75" customHeight="1" thickBot="1" x14ac:dyDescent="0.3">
      <c r="A11" s="1179"/>
      <c r="B11" s="316" t="s">
        <v>432</v>
      </c>
      <c r="C11" s="918"/>
      <c r="D11" s="553" t="s">
        <v>427</v>
      </c>
      <c r="E11" s="757"/>
      <c r="F11" s="553" t="s">
        <v>561</v>
      </c>
      <c r="G11" s="919">
        <f>PersonCalcYr1!H22</f>
        <v>65</v>
      </c>
      <c r="H11" s="740" t="s">
        <v>230</v>
      </c>
      <c r="I11" s="914">
        <f>PersonCalcYr1!AR22</f>
        <v>0</v>
      </c>
      <c r="J11" s="267"/>
      <c r="K11" s="1179"/>
      <c r="L11" s="553" t="s">
        <v>594</v>
      </c>
      <c r="M11" s="757">
        <f>E11</f>
        <v>0</v>
      </c>
      <c r="N11" s="553" t="s">
        <v>561</v>
      </c>
      <c r="O11" s="919">
        <f>PersonCalcYr2!H26</f>
        <v>65</v>
      </c>
      <c r="P11" s="740" t="s">
        <v>230</v>
      </c>
      <c r="Q11" s="914">
        <f>PersonCalcYr2!BD26</f>
        <v>0</v>
      </c>
      <c r="R11" s="742"/>
      <c r="S11" s="1179"/>
      <c r="T11" s="553" t="s">
        <v>652</v>
      </c>
      <c r="U11" s="757">
        <f>M11</f>
        <v>0</v>
      </c>
      <c r="V11" s="553" t="s">
        <v>561</v>
      </c>
      <c r="W11" s="919">
        <f>PersonCalcYr3!H30</f>
        <v>65</v>
      </c>
      <c r="X11" s="740" t="s">
        <v>230</v>
      </c>
      <c r="Y11" s="914">
        <f>PersonCalcYr3!BN30</f>
        <v>0</v>
      </c>
      <c r="Z11" s="406"/>
    </row>
    <row r="12" spans="1:28" ht="12.75" customHeight="1" thickBot="1" x14ac:dyDescent="0.3">
      <c r="A12" s="1180"/>
      <c r="B12" s="555"/>
      <c r="C12" s="920"/>
      <c r="D12" s="921" t="s">
        <v>554</v>
      </c>
      <c r="E12" s="922">
        <f>PersonCalcYr1!H15</f>
        <v>12</v>
      </c>
      <c r="F12" s="555"/>
      <c r="G12" s="555"/>
      <c r="H12" s="923" t="s">
        <v>567</v>
      </c>
      <c r="I12" s="924">
        <f>PersonCalcYr1!AS22</f>
        <v>0</v>
      </c>
      <c r="J12" s="267"/>
      <c r="K12" s="1180"/>
      <c r="L12" s="921" t="s">
        <v>624</v>
      </c>
      <c r="M12" s="922">
        <f>PersonCalcYr2!H17</f>
        <v>12</v>
      </c>
      <c r="N12" s="555"/>
      <c r="O12" s="555"/>
      <c r="P12" s="923" t="s">
        <v>567</v>
      </c>
      <c r="Q12" s="924">
        <f>PersonCalcYr2!BE26</f>
        <v>0</v>
      </c>
      <c r="R12" s="742"/>
      <c r="S12" s="1180"/>
      <c r="T12" s="921" t="s">
        <v>624</v>
      </c>
      <c r="U12" s="922">
        <f>PersonCalcYr3!H19</f>
        <v>12</v>
      </c>
      <c r="V12" s="555"/>
      <c r="W12" s="555"/>
      <c r="X12" s="923" t="s">
        <v>567</v>
      </c>
      <c r="Y12" s="924">
        <f>PersonCalcYr3!BO30</f>
        <v>0</v>
      </c>
      <c r="Z12" s="406"/>
    </row>
    <row r="13" spans="1:28" ht="10.5" customHeight="1" thickBot="1" x14ac:dyDescent="0.3">
      <c r="A13" s="925"/>
      <c r="B13" s="903"/>
      <c r="C13" s="926"/>
      <c r="D13" s="903"/>
      <c r="E13" s="926"/>
      <c r="F13" s="903"/>
      <c r="G13" s="903"/>
      <c r="H13" s="927"/>
      <c r="I13" s="928"/>
      <c r="J13" s="903"/>
      <c r="K13" s="929"/>
      <c r="L13" s="903"/>
      <c r="M13" s="926"/>
      <c r="N13" s="903"/>
      <c r="O13" s="903"/>
      <c r="P13" s="927"/>
      <c r="Q13" s="928"/>
      <c r="R13" s="742"/>
      <c r="S13" s="929"/>
      <c r="T13" s="903"/>
      <c r="U13" s="926"/>
      <c r="V13" s="903"/>
      <c r="W13" s="903"/>
      <c r="X13" s="927"/>
      <c r="Y13" s="928"/>
      <c r="Z13" s="406"/>
    </row>
    <row r="14" spans="1:28" ht="12.75" customHeight="1" x14ac:dyDescent="0.25">
      <c r="A14" s="1178">
        <v>2</v>
      </c>
      <c r="B14" s="909"/>
      <c r="C14" s="554"/>
      <c r="D14" s="554"/>
      <c r="E14" s="554"/>
      <c r="F14" s="554"/>
      <c r="G14" s="554"/>
      <c r="H14" s="910" t="s">
        <v>414</v>
      </c>
      <c r="I14" s="911">
        <f>PersonCalcYr1!AR25</f>
        <v>0</v>
      </c>
      <c r="J14" s="267"/>
      <c r="K14" s="1178">
        <v>2</v>
      </c>
      <c r="L14" s="554"/>
      <c r="M14" s="554"/>
      <c r="N14" s="554"/>
      <c r="O14" s="554"/>
      <c r="P14" s="910" t="s">
        <v>414</v>
      </c>
      <c r="Q14" s="911">
        <f>PersonCalcYr2!BD29</f>
        <v>0</v>
      </c>
      <c r="R14" s="742"/>
      <c r="S14" s="1178">
        <v>2</v>
      </c>
      <c r="T14" s="554"/>
      <c r="U14" s="554"/>
      <c r="V14" s="554"/>
      <c r="W14" s="554"/>
      <c r="X14" s="910" t="s">
        <v>414</v>
      </c>
      <c r="Y14" s="911">
        <f>PersonCalcYr3!BN33</f>
        <v>0</v>
      </c>
      <c r="Z14" s="406"/>
    </row>
    <row r="15" spans="1:28" ht="12.75" customHeight="1" x14ac:dyDescent="0.25">
      <c r="A15" s="1179"/>
      <c r="B15" s="316" t="s">
        <v>238</v>
      </c>
      <c r="C15" s="912" t="s">
        <v>54</v>
      </c>
      <c r="D15" s="553" t="s">
        <v>438</v>
      </c>
      <c r="E15" s="912" t="s">
        <v>429</v>
      </c>
      <c r="F15" s="553" t="s">
        <v>434</v>
      </c>
      <c r="G15" s="913">
        <v>0</v>
      </c>
      <c r="H15" s="740" t="s">
        <v>443</v>
      </c>
      <c r="I15" s="914">
        <f>PersonCalcYr1!AR31</f>
        <v>0</v>
      </c>
      <c r="J15" s="267"/>
      <c r="K15" s="1179"/>
      <c r="L15" s="553" t="s">
        <v>438</v>
      </c>
      <c r="M15" s="912" t="str">
        <f>E15</f>
        <v>YES</v>
      </c>
      <c r="N15" s="553" t="s">
        <v>434</v>
      </c>
      <c r="O15" s="913">
        <f>G15</f>
        <v>0</v>
      </c>
      <c r="P15" s="740" t="s">
        <v>443</v>
      </c>
      <c r="Q15" s="914">
        <f>PersonCalcYr2!BD37</f>
        <v>0</v>
      </c>
      <c r="R15" s="742"/>
      <c r="S15" s="1179"/>
      <c r="T15" s="553" t="s">
        <v>438</v>
      </c>
      <c r="U15" s="912" t="str">
        <f>M15</f>
        <v>YES</v>
      </c>
      <c r="V15" s="553" t="s">
        <v>434</v>
      </c>
      <c r="W15" s="913">
        <f>O15</f>
        <v>0</v>
      </c>
      <c r="X15" s="740" t="s">
        <v>443</v>
      </c>
      <c r="Y15" s="914">
        <f>PersonCalcYr3!BN43</f>
        <v>0</v>
      </c>
      <c r="Z15" s="406"/>
    </row>
    <row r="16" spans="1:28" ht="12.75" customHeight="1" x14ac:dyDescent="0.25">
      <c r="A16" s="1179"/>
      <c r="B16" s="316" t="s">
        <v>174</v>
      </c>
      <c r="C16" s="915"/>
      <c r="D16" s="553" t="s">
        <v>426</v>
      </c>
      <c r="E16" s="916"/>
      <c r="F16" s="553" t="s">
        <v>119</v>
      </c>
      <c r="G16" s="917">
        <v>10</v>
      </c>
      <c r="H16" s="740" t="s">
        <v>422</v>
      </c>
      <c r="I16" s="914">
        <f>PersonCalcYr1!AR32</f>
        <v>0</v>
      </c>
      <c r="J16" s="267"/>
      <c r="K16" s="1179"/>
      <c r="L16" s="553" t="s">
        <v>426</v>
      </c>
      <c r="M16" s="916">
        <f>E16</f>
        <v>0</v>
      </c>
      <c r="N16" s="553" t="s">
        <v>119</v>
      </c>
      <c r="O16" s="917">
        <f>G16</f>
        <v>10</v>
      </c>
      <c r="P16" s="740" t="s">
        <v>422</v>
      </c>
      <c r="Q16" s="914">
        <f>PersonCalcYr2!BD38</f>
        <v>0</v>
      </c>
      <c r="R16" s="742"/>
      <c r="S16" s="1179"/>
      <c r="T16" s="553" t="s">
        <v>426</v>
      </c>
      <c r="U16" s="916">
        <f>M16</f>
        <v>0</v>
      </c>
      <c r="V16" s="553" t="s">
        <v>119</v>
      </c>
      <c r="W16" s="917">
        <f>O16</f>
        <v>10</v>
      </c>
      <c r="X16" s="740" t="s">
        <v>422</v>
      </c>
      <c r="Y16" s="914">
        <f>PersonCalcYr3!BN44</f>
        <v>0</v>
      </c>
      <c r="Z16" s="406"/>
    </row>
    <row r="17" spans="1:26" ht="12.75" customHeight="1" thickBot="1" x14ac:dyDescent="0.3">
      <c r="A17" s="1179"/>
      <c r="B17" s="316" t="s">
        <v>432</v>
      </c>
      <c r="C17" s="918"/>
      <c r="D17" s="553" t="s">
        <v>427</v>
      </c>
      <c r="E17" s="757"/>
      <c r="F17" s="553" t="s">
        <v>561</v>
      </c>
      <c r="G17" s="919">
        <f>PersonCalcYr1!H38</f>
        <v>65</v>
      </c>
      <c r="H17" s="740" t="s">
        <v>230</v>
      </c>
      <c r="I17" s="914">
        <f>PersonCalcYr1!AR38</f>
        <v>0</v>
      </c>
      <c r="J17" s="267"/>
      <c r="K17" s="1179"/>
      <c r="L17" s="553" t="s">
        <v>594</v>
      </c>
      <c r="M17" s="757">
        <f>E17</f>
        <v>0</v>
      </c>
      <c r="N17" s="553" t="s">
        <v>561</v>
      </c>
      <c r="O17" s="919">
        <f>PersonCalcYr2!H46</f>
        <v>65</v>
      </c>
      <c r="P17" s="740" t="s">
        <v>230</v>
      </c>
      <c r="Q17" s="914">
        <f>PersonCalcYr2!BD46</f>
        <v>0</v>
      </c>
      <c r="R17" s="742"/>
      <c r="S17" s="1179"/>
      <c r="T17" s="553" t="s">
        <v>652</v>
      </c>
      <c r="U17" s="757">
        <f>M17</f>
        <v>0</v>
      </c>
      <c r="V17" s="553" t="s">
        <v>561</v>
      </c>
      <c r="W17" s="919">
        <f>PersonCalcYr3!H54</f>
        <v>65</v>
      </c>
      <c r="X17" s="740" t="s">
        <v>230</v>
      </c>
      <c r="Y17" s="914">
        <f>PersonCalcYr3!BN54</f>
        <v>0</v>
      </c>
      <c r="Z17" s="406"/>
    </row>
    <row r="18" spans="1:26" ht="12.75" customHeight="1" thickBot="1" x14ac:dyDescent="0.3">
      <c r="A18" s="1180"/>
      <c r="B18" s="555"/>
      <c r="C18" s="920"/>
      <c r="D18" s="921" t="s">
        <v>554</v>
      </c>
      <c r="E18" s="922">
        <f>PersonCalcYr1!H31</f>
        <v>12</v>
      </c>
      <c r="F18" s="555"/>
      <c r="G18" s="555"/>
      <c r="H18" s="923" t="s">
        <v>567</v>
      </c>
      <c r="I18" s="924">
        <f>PersonCalcYr1!AS38</f>
        <v>0</v>
      </c>
      <c r="J18" s="267"/>
      <c r="K18" s="1180"/>
      <c r="L18" s="921" t="s">
        <v>624</v>
      </c>
      <c r="M18" s="922">
        <f>PersonCalcYr2!H37</f>
        <v>12</v>
      </c>
      <c r="N18" s="555"/>
      <c r="O18" s="555"/>
      <c r="P18" s="923" t="s">
        <v>567</v>
      </c>
      <c r="Q18" s="924">
        <f>PersonCalcYr2!BE46</f>
        <v>0</v>
      </c>
      <c r="R18" s="742"/>
      <c r="S18" s="1180"/>
      <c r="T18" s="921" t="s">
        <v>624</v>
      </c>
      <c r="U18" s="922">
        <f>PersonCalcYr3!H43</f>
        <v>12</v>
      </c>
      <c r="V18" s="555"/>
      <c r="W18" s="555"/>
      <c r="X18" s="923" t="s">
        <v>567</v>
      </c>
      <c r="Y18" s="924">
        <f>PersonCalcYr3!BO54</f>
        <v>0</v>
      </c>
      <c r="Z18" s="406"/>
    </row>
    <row r="19" spans="1:26" ht="11.25" customHeight="1" thickBot="1" x14ac:dyDescent="0.3">
      <c r="A19" s="925"/>
      <c r="B19" s="903"/>
      <c r="C19" s="926"/>
      <c r="D19" s="903"/>
      <c r="E19" s="926"/>
      <c r="F19" s="903"/>
      <c r="G19" s="903"/>
      <c r="H19" s="927"/>
      <c r="I19" s="928"/>
      <c r="J19" s="903"/>
      <c r="K19" s="929"/>
      <c r="L19" s="903"/>
      <c r="M19" s="926"/>
      <c r="N19" s="903"/>
      <c r="O19" s="903"/>
      <c r="P19" s="927"/>
      <c r="Q19" s="928"/>
      <c r="R19" s="742"/>
      <c r="S19" s="929"/>
      <c r="T19" s="903"/>
      <c r="U19" s="926"/>
      <c r="V19" s="903"/>
      <c r="W19" s="903"/>
      <c r="X19" s="927"/>
      <c r="Y19" s="928"/>
      <c r="Z19" s="406"/>
    </row>
    <row r="20" spans="1:26" ht="12.75" customHeight="1" x14ac:dyDescent="0.25">
      <c r="A20" s="1178">
        <v>3</v>
      </c>
      <c r="B20" s="909"/>
      <c r="C20" s="554"/>
      <c r="D20" s="554"/>
      <c r="E20" s="554"/>
      <c r="F20" s="554"/>
      <c r="G20" s="554"/>
      <c r="H20" s="910" t="s">
        <v>414</v>
      </c>
      <c r="I20" s="911">
        <f>PersonCalcYr1!AR41</f>
        <v>0</v>
      </c>
      <c r="J20" s="267"/>
      <c r="K20" s="1178">
        <v>3</v>
      </c>
      <c r="L20" s="554"/>
      <c r="M20" s="554"/>
      <c r="N20" s="554"/>
      <c r="O20" s="554"/>
      <c r="P20" s="910" t="s">
        <v>414</v>
      </c>
      <c r="Q20" s="911">
        <f>PersonCalcYr2!BD49</f>
        <v>0</v>
      </c>
      <c r="R20" s="742"/>
      <c r="S20" s="1178">
        <v>3</v>
      </c>
      <c r="T20" s="554"/>
      <c r="U20" s="554"/>
      <c r="V20" s="554"/>
      <c r="W20" s="554"/>
      <c r="X20" s="910" t="s">
        <v>414</v>
      </c>
      <c r="Y20" s="911">
        <f>PersonCalcYr3!BN57</f>
        <v>0</v>
      </c>
      <c r="Z20" s="406"/>
    </row>
    <row r="21" spans="1:26" ht="12.75" customHeight="1" x14ac:dyDescent="0.25">
      <c r="A21" s="1179"/>
      <c r="B21" s="316" t="s">
        <v>238</v>
      </c>
      <c r="C21" s="912" t="s">
        <v>54</v>
      </c>
      <c r="D21" s="553" t="s">
        <v>438</v>
      </c>
      <c r="E21" s="912" t="s">
        <v>429</v>
      </c>
      <c r="F21" s="553" t="s">
        <v>434</v>
      </c>
      <c r="G21" s="913">
        <v>0</v>
      </c>
      <c r="H21" s="740" t="s">
        <v>443</v>
      </c>
      <c r="I21" s="914">
        <f>PersonCalcYr1!AR47</f>
        <v>0</v>
      </c>
      <c r="J21" s="267"/>
      <c r="K21" s="1179"/>
      <c r="L21" s="553" t="s">
        <v>438</v>
      </c>
      <c r="M21" s="912" t="str">
        <f>E21</f>
        <v>YES</v>
      </c>
      <c r="N21" s="553" t="s">
        <v>434</v>
      </c>
      <c r="O21" s="913">
        <f>G21</f>
        <v>0</v>
      </c>
      <c r="P21" s="740" t="s">
        <v>443</v>
      </c>
      <c r="Q21" s="914">
        <f>PersonCalcYr2!BD57</f>
        <v>0</v>
      </c>
      <c r="R21" s="742"/>
      <c r="S21" s="1179"/>
      <c r="T21" s="553" t="s">
        <v>438</v>
      </c>
      <c r="U21" s="912" t="str">
        <f>M21</f>
        <v>YES</v>
      </c>
      <c r="V21" s="553" t="s">
        <v>434</v>
      </c>
      <c r="W21" s="913">
        <f>O21</f>
        <v>0</v>
      </c>
      <c r="X21" s="740" t="s">
        <v>443</v>
      </c>
      <c r="Y21" s="914">
        <f>PersonCalcYr3!BN67</f>
        <v>0</v>
      </c>
      <c r="Z21" s="406"/>
    </row>
    <row r="22" spans="1:26" ht="12.75" customHeight="1" x14ac:dyDescent="0.25">
      <c r="A22" s="1179"/>
      <c r="B22" s="316" t="s">
        <v>174</v>
      </c>
      <c r="C22" s="915"/>
      <c r="D22" s="553" t="s">
        <v>426</v>
      </c>
      <c r="E22" s="916"/>
      <c r="F22" s="553" t="s">
        <v>119</v>
      </c>
      <c r="G22" s="917">
        <v>10</v>
      </c>
      <c r="H22" s="740" t="s">
        <v>422</v>
      </c>
      <c r="I22" s="914">
        <f>PersonCalcYr1!AR48</f>
        <v>0</v>
      </c>
      <c r="J22" s="267"/>
      <c r="K22" s="1179"/>
      <c r="L22" s="553" t="s">
        <v>426</v>
      </c>
      <c r="M22" s="916">
        <f>E22</f>
        <v>0</v>
      </c>
      <c r="N22" s="553" t="s">
        <v>119</v>
      </c>
      <c r="O22" s="917">
        <f>G22</f>
        <v>10</v>
      </c>
      <c r="P22" s="740" t="s">
        <v>422</v>
      </c>
      <c r="Q22" s="914">
        <f>PersonCalcYr2!BD58</f>
        <v>0</v>
      </c>
      <c r="R22" s="742"/>
      <c r="S22" s="1179"/>
      <c r="T22" s="553" t="s">
        <v>426</v>
      </c>
      <c r="U22" s="916">
        <f>M22</f>
        <v>0</v>
      </c>
      <c r="V22" s="553" t="s">
        <v>119</v>
      </c>
      <c r="W22" s="917">
        <f>O22</f>
        <v>10</v>
      </c>
      <c r="X22" s="740" t="s">
        <v>422</v>
      </c>
      <c r="Y22" s="914">
        <f>PersonCalcYr3!BN68</f>
        <v>0</v>
      </c>
      <c r="Z22" s="406"/>
    </row>
    <row r="23" spans="1:26" ht="12.75" customHeight="1" thickBot="1" x14ac:dyDescent="0.3">
      <c r="A23" s="1179"/>
      <c r="B23" s="316" t="s">
        <v>432</v>
      </c>
      <c r="C23" s="918"/>
      <c r="D23" s="553" t="s">
        <v>427</v>
      </c>
      <c r="E23" s="757"/>
      <c r="F23" s="553" t="s">
        <v>561</v>
      </c>
      <c r="G23" s="919">
        <f>PersonCalcYr1!H54</f>
        <v>65</v>
      </c>
      <c r="H23" s="740" t="s">
        <v>230</v>
      </c>
      <c r="I23" s="914">
        <f>PersonCalcYr1!AR54</f>
        <v>0</v>
      </c>
      <c r="J23" s="267"/>
      <c r="K23" s="1179"/>
      <c r="L23" s="553" t="s">
        <v>594</v>
      </c>
      <c r="M23" s="757">
        <f>E23</f>
        <v>0</v>
      </c>
      <c r="N23" s="553" t="s">
        <v>561</v>
      </c>
      <c r="O23" s="919">
        <f>PersonCalcYr2!H66</f>
        <v>65</v>
      </c>
      <c r="P23" s="740" t="s">
        <v>230</v>
      </c>
      <c r="Q23" s="914">
        <f>PersonCalcYr2!BD66</f>
        <v>0</v>
      </c>
      <c r="R23" s="742"/>
      <c r="S23" s="1179"/>
      <c r="T23" s="553" t="s">
        <v>652</v>
      </c>
      <c r="U23" s="757">
        <f>M23</f>
        <v>0</v>
      </c>
      <c r="V23" s="553" t="s">
        <v>561</v>
      </c>
      <c r="W23" s="919">
        <f>PersonCalcYr3!H78</f>
        <v>65</v>
      </c>
      <c r="X23" s="740" t="s">
        <v>230</v>
      </c>
      <c r="Y23" s="914">
        <f>PersonCalcYr3!BN78</f>
        <v>0</v>
      </c>
      <c r="Z23" s="406"/>
    </row>
    <row r="24" spans="1:26" ht="12.75" customHeight="1" thickBot="1" x14ac:dyDescent="0.3">
      <c r="A24" s="1180"/>
      <c r="B24" s="555"/>
      <c r="C24" s="920"/>
      <c r="D24" s="921" t="s">
        <v>554</v>
      </c>
      <c r="E24" s="922">
        <f>PersonCalcYr1!H47</f>
        <v>12</v>
      </c>
      <c r="F24" s="555"/>
      <c r="G24" s="555"/>
      <c r="H24" s="923" t="s">
        <v>567</v>
      </c>
      <c r="I24" s="924">
        <f>PersonCalcYr1!AS54</f>
        <v>0</v>
      </c>
      <c r="J24" s="267"/>
      <c r="K24" s="1180"/>
      <c r="L24" s="921" t="s">
        <v>624</v>
      </c>
      <c r="M24" s="922">
        <f>PersonCalcYr2!H57</f>
        <v>12</v>
      </c>
      <c r="N24" s="555"/>
      <c r="O24" s="555"/>
      <c r="P24" s="923" t="s">
        <v>567</v>
      </c>
      <c r="Q24" s="924">
        <f>PersonCalcYr2!BE66</f>
        <v>0</v>
      </c>
      <c r="R24" s="742"/>
      <c r="S24" s="1180"/>
      <c r="T24" s="921" t="s">
        <v>624</v>
      </c>
      <c r="U24" s="922">
        <f>PersonCalcYr3!H67</f>
        <v>12</v>
      </c>
      <c r="V24" s="555"/>
      <c r="W24" s="555"/>
      <c r="X24" s="923" t="s">
        <v>567</v>
      </c>
      <c r="Y24" s="924">
        <f>PersonCalcYr3!BO78</f>
        <v>0</v>
      </c>
      <c r="Z24" s="406"/>
    </row>
    <row r="25" spans="1:26" ht="11.25" customHeight="1" thickBot="1" x14ac:dyDescent="0.3">
      <c r="A25" s="925"/>
      <c r="B25" s="903"/>
      <c r="C25" s="926"/>
      <c r="D25" s="553"/>
      <c r="E25" s="926"/>
      <c r="F25" s="903"/>
      <c r="G25" s="903"/>
      <c r="H25" s="927"/>
      <c r="I25" s="928"/>
      <c r="J25" s="903"/>
      <c r="K25" s="929"/>
      <c r="L25" s="553"/>
      <c r="M25" s="926"/>
      <c r="N25" s="903"/>
      <c r="O25" s="903"/>
      <c r="P25" s="927"/>
      <c r="Q25" s="928"/>
      <c r="R25" s="742"/>
      <c r="S25" s="929"/>
      <c r="T25" s="553"/>
      <c r="U25" s="926"/>
      <c r="V25" s="903"/>
      <c r="W25" s="903"/>
      <c r="X25" s="927"/>
      <c r="Y25" s="928"/>
      <c r="Z25" s="406"/>
    </row>
    <row r="26" spans="1:26" ht="12.75" customHeight="1" x14ac:dyDescent="0.25">
      <c r="A26" s="1178">
        <v>4</v>
      </c>
      <c r="B26" s="909"/>
      <c r="C26" s="554"/>
      <c r="D26" s="930"/>
      <c r="E26" s="554"/>
      <c r="F26" s="554"/>
      <c r="G26" s="554"/>
      <c r="H26" s="910" t="s">
        <v>414</v>
      </c>
      <c r="I26" s="911">
        <f>PersonCalcYr1!AR57</f>
        <v>0</v>
      </c>
      <c r="J26" s="267"/>
      <c r="K26" s="1178">
        <v>4</v>
      </c>
      <c r="L26" s="930"/>
      <c r="M26" s="554"/>
      <c r="N26" s="554"/>
      <c r="O26" s="554"/>
      <c r="P26" s="910" t="s">
        <v>414</v>
      </c>
      <c r="Q26" s="911">
        <f>PersonCalcYr2!BD69</f>
        <v>0</v>
      </c>
      <c r="R26" s="742"/>
      <c r="S26" s="1178">
        <v>4</v>
      </c>
      <c r="T26" s="930"/>
      <c r="U26" s="554"/>
      <c r="V26" s="554"/>
      <c r="W26" s="554"/>
      <c r="X26" s="910" t="s">
        <v>414</v>
      </c>
      <c r="Y26" s="911">
        <f>PersonCalcYr3!BN81</f>
        <v>0</v>
      </c>
      <c r="Z26" s="406"/>
    </row>
    <row r="27" spans="1:26" ht="12.75" customHeight="1" x14ac:dyDescent="0.25">
      <c r="A27" s="1179"/>
      <c r="B27" s="316" t="s">
        <v>238</v>
      </c>
      <c r="C27" s="912" t="s">
        <v>54</v>
      </c>
      <c r="D27" s="553" t="s">
        <v>438</v>
      </c>
      <c r="E27" s="912" t="s">
        <v>429</v>
      </c>
      <c r="F27" s="553" t="s">
        <v>434</v>
      </c>
      <c r="G27" s="913">
        <v>0</v>
      </c>
      <c r="H27" s="740" t="s">
        <v>443</v>
      </c>
      <c r="I27" s="914">
        <f>PersonCalcYr1!AR63</f>
        <v>0</v>
      </c>
      <c r="J27" s="267"/>
      <c r="K27" s="1179"/>
      <c r="L27" s="553" t="s">
        <v>438</v>
      </c>
      <c r="M27" s="912" t="str">
        <f>E27</f>
        <v>YES</v>
      </c>
      <c r="N27" s="553" t="s">
        <v>434</v>
      </c>
      <c r="O27" s="913">
        <f>G27</f>
        <v>0</v>
      </c>
      <c r="P27" s="740" t="s">
        <v>443</v>
      </c>
      <c r="Q27" s="914">
        <f>PersonCalcYr2!BD77</f>
        <v>0</v>
      </c>
      <c r="R27" s="742"/>
      <c r="S27" s="1179"/>
      <c r="T27" s="553" t="s">
        <v>438</v>
      </c>
      <c r="U27" s="912" t="str">
        <f>M27</f>
        <v>YES</v>
      </c>
      <c r="V27" s="553" t="s">
        <v>434</v>
      </c>
      <c r="W27" s="913">
        <f>O27</f>
        <v>0</v>
      </c>
      <c r="X27" s="740" t="s">
        <v>443</v>
      </c>
      <c r="Y27" s="914">
        <f>PersonCalcYr3!BN91</f>
        <v>0</v>
      </c>
      <c r="Z27" s="406"/>
    </row>
    <row r="28" spans="1:26" ht="12.75" customHeight="1" x14ac:dyDescent="0.25">
      <c r="A28" s="1179"/>
      <c r="B28" s="316" t="s">
        <v>174</v>
      </c>
      <c r="C28" s="915"/>
      <c r="D28" s="553" t="s">
        <v>426</v>
      </c>
      <c r="E28" s="916"/>
      <c r="F28" s="553" t="s">
        <v>119</v>
      </c>
      <c r="G28" s="917">
        <v>0</v>
      </c>
      <c r="H28" s="740" t="s">
        <v>422</v>
      </c>
      <c r="I28" s="914">
        <f>PersonCalcYr1!AR64</f>
        <v>0</v>
      </c>
      <c r="J28" s="267"/>
      <c r="K28" s="1179"/>
      <c r="L28" s="553" t="s">
        <v>426</v>
      </c>
      <c r="M28" s="916">
        <f>E28</f>
        <v>0</v>
      </c>
      <c r="N28" s="553" t="s">
        <v>119</v>
      </c>
      <c r="O28" s="917">
        <f>G28</f>
        <v>0</v>
      </c>
      <c r="P28" s="740" t="s">
        <v>422</v>
      </c>
      <c r="Q28" s="914">
        <f>PersonCalcYr2!BD78</f>
        <v>0</v>
      </c>
      <c r="R28" s="742"/>
      <c r="S28" s="1179"/>
      <c r="T28" s="553" t="s">
        <v>426</v>
      </c>
      <c r="U28" s="916">
        <f>M28</f>
        <v>0</v>
      </c>
      <c r="V28" s="553" t="s">
        <v>119</v>
      </c>
      <c r="W28" s="917">
        <f>O28</f>
        <v>0</v>
      </c>
      <c r="X28" s="740" t="s">
        <v>422</v>
      </c>
      <c r="Y28" s="914">
        <f>PersonCalcYr3!BN92</f>
        <v>0</v>
      </c>
      <c r="Z28" s="406"/>
    </row>
    <row r="29" spans="1:26" ht="12.75" customHeight="1" thickBot="1" x14ac:dyDescent="0.3">
      <c r="A29" s="1179"/>
      <c r="B29" s="316" t="s">
        <v>432</v>
      </c>
      <c r="C29" s="918">
        <v>0</v>
      </c>
      <c r="D29" s="553" t="s">
        <v>427</v>
      </c>
      <c r="E29" s="757"/>
      <c r="F29" s="553" t="s">
        <v>561</v>
      </c>
      <c r="G29" s="919">
        <f>PersonCalcYr1!H70</f>
        <v>65</v>
      </c>
      <c r="H29" s="740" t="s">
        <v>230</v>
      </c>
      <c r="I29" s="914">
        <f>PersonCalcYr1!AR70</f>
        <v>0</v>
      </c>
      <c r="J29" s="267"/>
      <c r="K29" s="1179"/>
      <c r="L29" s="553" t="s">
        <v>594</v>
      </c>
      <c r="M29" s="757">
        <f>E29</f>
        <v>0</v>
      </c>
      <c r="N29" s="553" t="s">
        <v>561</v>
      </c>
      <c r="O29" s="919">
        <f>PersonCalcYr2!H86</f>
        <v>65</v>
      </c>
      <c r="P29" s="740" t="s">
        <v>230</v>
      </c>
      <c r="Q29" s="914">
        <f>PersonCalcYr2!BD86</f>
        <v>0</v>
      </c>
      <c r="R29" s="742"/>
      <c r="S29" s="1179"/>
      <c r="T29" s="553" t="s">
        <v>652</v>
      </c>
      <c r="U29" s="757">
        <f>M29</f>
        <v>0</v>
      </c>
      <c r="V29" s="553" t="s">
        <v>561</v>
      </c>
      <c r="W29" s="919">
        <f>PersonCalcYr3!H102</f>
        <v>65</v>
      </c>
      <c r="X29" s="740" t="s">
        <v>230</v>
      </c>
      <c r="Y29" s="914">
        <f>PersonCalcYr3!BN102</f>
        <v>0</v>
      </c>
      <c r="Z29" s="406"/>
    </row>
    <row r="30" spans="1:26" ht="12.75" customHeight="1" thickBot="1" x14ac:dyDescent="0.3">
      <c r="A30" s="1180"/>
      <c r="B30" s="555"/>
      <c r="C30" s="920"/>
      <c r="D30" s="921" t="s">
        <v>554</v>
      </c>
      <c r="E30" s="922">
        <f>PersonCalcYr1!H63</f>
        <v>12</v>
      </c>
      <c r="F30" s="555"/>
      <c r="G30" s="555"/>
      <c r="H30" s="923" t="s">
        <v>567</v>
      </c>
      <c r="I30" s="924">
        <f>PersonCalcYr1!AS70</f>
        <v>0</v>
      </c>
      <c r="J30" s="267"/>
      <c r="K30" s="1180"/>
      <c r="L30" s="921" t="s">
        <v>624</v>
      </c>
      <c r="M30" s="922">
        <f>PersonCalcYr2!H77</f>
        <v>12</v>
      </c>
      <c r="N30" s="555"/>
      <c r="O30" s="555"/>
      <c r="P30" s="923" t="s">
        <v>567</v>
      </c>
      <c r="Q30" s="924">
        <f>PersonCalcYr2!BE86</f>
        <v>0</v>
      </c>
      <c r="R30" s="742"/>
      <c r="S30" s="1180"/>
      <c r="T30" s="921" t="s">
        <v>624</v>
      </c>
      <c r="U30" s="922">
        <f>PersonCalcYr3!H91</f>
        <v>12</v>
      </c>
      <c r="V30" s="555"/>
      <c r="W30" s="555"/>
      <c r="X30" s="923" t="s">
        <v>567</v>
      </c>
      <c r="Y30" s="924">
        <f>PersonCalcYr3!BO102</f>
        <v>0</v>
      </c>
      <c r="Z30" s="406"/>
    </row>
    <row r="31" spans="1:26" ht="11.25" customHeight="1" thickBot="1" x14ac:dyDescent="0.3">
      <c r="A31" s="925"/>
      <c r="B31" s="903"/>
      <c r="C31" s="926"/>
      <c r="D31" s="553"/>
      <c r="E31" s="926"/>
      <c r="F31" s="903"/>
      <c r="G31" s="903"/>
      <c r="H31" s="927"/>
      <c r="I31" s="931"/>
      <c r="J31" s="903"/>
      <c r="K31" s="929"/>
      <c r="L31" s="553"/>
      <c r="M31" s="926"/>
      <c r="N31" s="903"/>
      <c r="O31" s="903"/>
      <c r="P31" s="927"/>
      <c r="Q31" s="931"/>
      <c r="R31" s="742"/>
      <c r="S31" s="929"/>
      <c r="T31" s="553"/>
      <c r="U31" s="926"/>
      <c r="V31" s="903"/>
      <c r="W31" s="903"/>
      <c r="X31" s="927"/>
      <c r="Y31" s="931"/>
      <c r="Z31" s="406"/>
    </row>
    <row r="32" spans="1:26" ht="12" customHeight="1" x14ac:dyDescent="0.25">
      <c r="A32" s="1178">
        <v>5</v>
      </c>
      <c r="B32" s="909"/>
      <c r="C32" s="554"/>
      <c r="D32" s="930"/>
      <c r="E32" s="554"/>
      <c r="F32" s="554"/>
      <c r="G32" s="554"/>
      <c r="H32" s="910" t="s">
        <v>414</v>
      </c>
      <c r="I32" s="911">
        <f>PersonCalcYr1!AR73</f>
        <v>0</v>
      </c>
      <c r="J32" s="267"/>
      <c r="K32" s="1178">
        <v>5</v>
      </c>
      <c r="L32" s="930"/>
      <c r="M32" s="554"/>
      <c r="N32" s="554"/>
      <c r="O32" s="554"/>
      <c r="P32" s="910" t="s">
        <v>414</v>
      </c>
      <c r="Q32" s="911">
        <f>PersonCalcYr2!BD89</f>
        <v>0</v>
      </c>
      <c r="R32" s="742"/>
      <c r="S32" s="1178">
        <v>5</v>
      </c>
      <c r="T32" s="930"/>
      <c r="U32" s="554"/>
      <c r="V32" s="554"/>
      <c r="W32" s="554"/>
      <c r="X32" s="910" t="s">
        <v>414</v>
      </c>
      <c r="Y32" s="911">
        <f>PersonCalcYr3!BN105</f>
        <v>0</v>
      </c>
      <c r="Z32" s="406"/>
    </row>
    <row r="33" spans="1:26" ht="12" customHeight="1" x14ac:dyDescent="0.25">
      <c r="A33" s="1179"/>
      <c r="B33" s="316" t="s">
        <v>238</v>
      </c>
      <c r="C33" s="912" t="s">
        <v>54</v>
      </c>
      <c r="D33" s="553" t="s">
        <v>438</v>
      </c>
      <c r="E33" s="912" t="s">
        <v>429</v>
      </c>
      <c r="F33" s="553" t="s">
        <v>434</v>
      </c>
      <c r="G33" s="913">
        <v>0</v>
      </c>
      <c r="H33" s="740" t="s">
        <v>443</v>
      </c>
      <c r="I33" s="914">
        <f>PersonCalcYr1!AR79</f>
        <v>0</v>
      </c>
      <c r="J33" s="267"/>
      <c r="K33" s="1179"/>
      <c r="L33" s="553" t="s">
        <v>438</v>
      </c>
      <c r="M33" s="912" t="str">
        <f>E33</f>
        <v>YES</v>
      </c>
      <c r="N33" s="553" t="s">
        <v>434</v>
      </c>
      <c r="O33" s="913">
        <f>G33</f>
        <v>0</v>
      </c>
      <c r="P33" s="740" t="s">
        <v>443</v>
      </c>
      <c r="Q33" s="914">
        <f>PersonCalcYr2!BD97</f>
        <v>0</v>
      </c>
      <c r="R33" s="742"/>
      <c r="S33" s="1179"/>
      <c r="T33" s="553" t="s">
        <v>438</v>
      </c>
      <c r="U33" s="912" t="str">
        <f>M33</f>
        <v>YES</v>
      </c>
      <c r="V33" s="553" t="s">
        <v>434</v>
      </c>
      <c r="W33" s="913">
        <f>O33</f>
        <v>0</v>
      </c>
      <c r="X33" s="740" t="s">
        <v>443</v>
      </c>
      <c r="Y33" s="914">
        <f>PersonCalcYr3!BN115</f>
        <v>0</v>
      </c>
      <c r="Z33" s="406"/>
    </row>
    <row r="34" spans="1:26" ht="12" customHeight="1" x14ac:dyDescent="0.25">
      <c r="A34" s="1179"/>
      <c r="B34" s="316" t="s">
        <v>174</v>
      </c>
      <c r="C34" s="915"/>
      <c r="D34" s="553" t="s">
        <v>426</v>
      </c>
      <c r="E34" s="916"/>
      <c r="F34" s="553" t="s">
        <v>119</v>
      </c>
      <c r="G34" s="917">
        <v>0</v>
      </c>
      <c r="H34" s="740" t="s">
        <v>422</v>
      </c>
      <c r="I34" s="914">
        <f>PersonCalcYr1!AR80</f>
        <v>0</v>
      </c>
      <c r="J34" s="267"/>
      <c r="K34" s="1179"/>
      <c r="L34" s="553" t="s">
        <v>426</v>
      </c>
      <c r="M34" s="916">
        <f>E34</f>
        <v>0</v>
      </c>
      <c r="N34" s="553" t="s">
        <v>119</v>
      </c>
      <c r="O34" s="917">
        <f>G34</f>
        <v>0</v>
      </c>
      <c r="P34" s="740" t="s">
        <v>422</v>
      </c>
      <c r="Q34" s="914">
        <f>PersonCalcYr2!BD98</f>
        <v>0</v>
      </c>
      <c r="R34" s="742"/>
      <c r="S34" s="1179"/>
      <c r="T34" s="553" t="s">
        <v>426</v>
      </c>
      <c r="U34" s="916">
        <f>M34</f>
        <v>0</v>
      </c>
      <c r="V34" s="553" t="s">
        <v>119</v>
      </c>
      <c r="W34" s="917">
        <f>O34</f>
        <v>0</v>
      </c>
      <c r="X34" s="740" t="s">
        <v>422</v>
      </c>
      <c r="Y34" s="914">
        <f>PersonCalcYr3!BN116</f>
        <v>0</v>
      </c>
      <c r="Z34" s="406"/>
    </row>
    <row r="35" spans="1:26" ht="12" customHeight="1" thickBot="1" x14ac:dyDescent="0.3">
      <c r="A35" s="1179"/>
      <c r="B35" s="316" t="s">
        <v>432</v>
      </c>
      <c r="C35" s="918">
        <v>0</v>
      </c>
      <c r="D35" s="553" t="s">
        <v>427</v>
      </c>
      <c r="E35" s="757"/>
      <c r="F35" s="553" t="s">
        <v>561</v>
      </c>
      <c r="G35" s="919">
        <f>PersonCalcYr1!H86</f>
        <v>65</v>
      </c>
      <c r="H35" s="740" t="s">
        <v>230</v>
      </c>
      <c r="I35" s="914">
        <f>PersonCalcYr1!AR86</f>
        <v>0</v>
      </c>
      <c r="J35" s="267"/>
      <c r="K35" s="1179"/>
      <c r="L35" s="553" t="s">
        <v>594</v>
      </c>
      <c r="M35" s="757">
        <f>E35</f>
        <v>0</v>
      </c>
      <c r="N35" s="553" t="s">
        <v>561</v>
      </c>
      <c r="O35" s="919">
        <f>PersonCalcYr2!H106</f>
        <v>65</v>
      </c>
      <c r="P35" s="740" t="s">
        <v>230</v>
      </c>
      <c r="Q35" s="914">
        <f>PersonCalcYr2!BD106</f>
        <v>0</v>
      </c>
      <c r="R35" s="742"/>
      <c r="S35" s="1179"/>
      <c r="T35" s="553" t="s">
        <v>652</v>
      </c>
      <c r="U35" s="757">
        <f>M35</f>
        <v>0</v>
      </c>
      <c r="V35" s="553" t="s">
        <v>561</v>
      </c>
      <c r="W35" s="919">
        <f>PersonCalcYr3!H126</f>
        <v>65</v>
      </c>
      <c r="X35" s="740" t="s">
        <v>230</v>
      </c>
      <c r="Y35" s="914">
        <f>PersonCalcYr3!BN126</f>
        <v>0</v>
      </c>
      <c r="Z35" s="406"/>
    </row>
    <row r="36" spans="1:26" ht="12" customHeight="1" thickBot="1" x14ac:dyDescent="0.3">
      <c r="A36" s="1180"/>
      <c r="B36" s="555"/>
      <c r="C36" s="920"/>
      <c r="D36" s="921" t="s">
        <v>554</v>
      </c>
      <c r="E36" s="922">
        <f>PersonCalcYr1!H79</f>
        <v>12</v>
      </c>
      <c r="F36" s="555"/>
      <c r="G36" s="555"/>
      <c r="H36" s="923" t="s">
        <v>567</v>
      </c>
      <c r="I36" s="924">
        <f>PersonCalcYr1!AS86</f>
        <v>0</v>
      </c>
      <c r="J36" s="267"/>
      <c r="K36" s="1180"/>
      <c r="L36" s="921" t="s">
        <v>624</v>
      </c>
      <c r="M36" s="922">
        <f>PersonCalcYr2!H97</f>
        <v>12</v>
      </c>
      <c r="N36" s="555"/>
      <c r="O36" s="555"/>
      <c r="P36" s="923" t="s">
        <v>567</v>
      </c>
      <c r="Q36" s="924">
        <f>PersonCalcYr2!BE106</f>
        <v>0</v>
      </c>
      <c r="R36" s="742"/>
      <c r="S36" s="1180"/>
      <c r="T36" s="921" t="s">
        <v>624</v>
      </c>
      <c r="U36" s="922">
        <f>PersonCalcYr3!H115</f>
        <v>12</v>
      </c>
      <c r="V36" s="555"/>
      <c r="W36" s="555"/>
      <c r="X36" s="923" t="s">
        <v>567</v>
      </c>
      <c r="Y36" s="924">
        <f>PersonCalcYr3!BO126</f>
        <v>0</v>
      </c>
      <c r="Z36" s="406"/>
    </row>
    <row r="37" spans="1:26" ht="11.25" customHeight="1" x14ac:dyDescent="0.25">
      <c r="A37" s="267"/>
      <c r="B37" s="267"/>
      <c r="C37" s="267"/>
      <c r="D37" s="267"/>
      <c r="E37" s="267"/>
      <c r="F37" s="267"/>
      <c r="G37" s="267"/>
      <c r="H37" s="267"/>
      <c r="I37" s="267"/>
      <c r="J37" s="267"/>
      <c r="K37" s="267"/>
      <c r="L37" s="267"/>
      <c r="M37" s="267"/>
      <c r="N37" s="267"/>
      <c r="O37" s="267"/>
      <c r="P37" s="267"/>
      <c r="Q37" s="267"/>
      <c r="R37" s="742"/>
      <c r="S37" s="267"/>
      <c r="T37" s="267"/>
      <c r="U37" s="267"/>
      <c r="V37" s="267"/>
      <c r="W37" s="267"/>
      <c r="X37" s="267"/>
      <c r="Y37" s="267"/>
      <c r="Z37" s="406"/>
    </row>
    <row r="38" spans="1:26" ht="13.5" customHeight="1" thickBot="1" x14ac:dyDescent="0.3">
      <c r="A38" s="908"/>
      <c r="B38" s="905" t="s">
        <v>537</v>
      </c>
      <c r="C38" s="906"/>
      <c r="D38" s="906"/>
      <c r="E38" s="906"/>
      <c r="F38" s="906"/>
      <c r="G38" s="906"/>
      <c r="H38" s="906"/>
      <c r="I38" s="906" t="s">
        <v>433</v>
      </c>
      <c r="K38" s="908"/>
      <c r="L38" s="905" t="s">
        <v>627</v>
      </c>
      <c r="M38" s="906"/>
      <c r="N38" s="906"/>
      <c r="O38" s="907"/>
      <c r="P38" s="906"/>
      <c r="Q38" s="907" t="s">
        <v>596</v>
      </c>
      <c r="R38" s="406"/>
      <c r="S38" s="908"/>
      <c r="T38" s="905" t="s">
        <v>627</v>
      </c>
      <c r="U38" s="906"/>
      <c r="V38" s="906"/>
      <c r="W38" s="907"/>
      <c r="X38" s="906"/>
      <c r="Y38" s="907" t="s">
        <v>654</v>
      </c>
      <c r="Z38" s="406"/>
    </row>
    <row r="39" spans="1:26" ht="12" customHeight="1" x14ac:dyDescent="0.25">
      <c r="A39" s="1178">
        <v>1</v>
      </c>
      <c r="B39" s="554" t="s">
        <v>238</v>
      </c>
      <c r="C39" s="932" t="s">
        <v>532</v>
      </c>
      <c r="D39" s="930" t="s">
        <v>438</v>
      </c>
      <c r="E39" s="932" t="s">
        <v>429</v>
      </c>
      <c r="F39" s="930" t="s">
        <v>446</v>
      </c>
      <c r="G39" s="933">
        <v>0.1</v>
      </c>
      <c r="H39" s="910" t="s">
        <v>422</v>
      </c>
      <c r="I39" s="911">
        <f>PersonCalcYr1!AR91</f>
        <v>0</v>
      </c>
      <c r="J39" s="267"/>
      <c r="K39" s="1178">
        <v>1</v>
      </c>
      <c r="L39" s="930" t="s">
        <v>438</v>
      </c>
      <c r="M39" s="932" t="str">
        <f>E39</f>
        <v>YES</v>
      </c>
      <c r="N39" s="930" t="s">
        <v>446</v>
      </c>
      <c r="O39" s="933">
        <f>G39</f>
        <v>0.1</v>
      </c>
      <c r="P39" s="910" t="s">
        <v>422</v>
      </c>
      <c r="Q39" s="911">
        <f>PersonCalcYr2!BD111</f>
        <v>0</v>
      </c>
      <c r="R39" s="742"/>
      <c r="S39" s="1178">
        <v>1</v>
      </c>
      <c r="T39" s="930" t="s">
        <v>438</v>
      </c>
      <c r="U39" s="932" t="str">
        <f>M39</f>
        <v>YES</v>
      </c>
      <c r="V39" s="930" t="s">
        <v>446</v>
      </c>
      <c r="W39" s="933">
        <f>O39</f>
        <v>0.1</v>
      </c>
      <c r="X39" s="910" t="s">
        <v>422</v>
      </c>
      <c r="Y39" s="911">
        <f>PersonCalcYr3!BN131</f>
        <v>0</v>
      </c>
      <c r="Z39" s="406"/>
    </row>
    <row r="40" spans="1:26" ht="12" customHeight="1" thickBot="1" x14ac:dyDescent="0.3">
      <c r="A40" s="1179"/>
      <c r="B40" s="903" t="s">
        <v>174</v>
      </c>
      <c r="C40" s="915"/>
      <c r="D40" s="553" t="s">
        <v>426</v>
      </c>
      <c r="E40" s="916"/>
      <c r="F40" s="903"/>
      <c r="G40" s="903"/>
      <c r="H40" s="740" t="s">
        <v>230</v>
      </c>
      <c r="I40" s="914">
        <f>PersonCalcYr1!AR96</f>
        <v>0</v>
      </c>
      <c r="J40" s="267"/>
      <c r="K40" s="1179"/>
      <c r="L40" s="553" t="s">
        <v>426</v>
      </c>
      <c r="M40" s="916">
        <f>E40</f>
        <v>0</v>
      </c>
      <c r="N40" s="903"/>
      <c r="O40" s="903"/>
      <c r="P40" s="740" t="s">
        <v>230</v>
      </c>
      <c r="Q40" s="914">
        <f>PersonCalcYr2!BD118</f>
        <v>0</v>
      </c>
      <c r="R40" s="742"/>
      <c r="S40" s="1179"/>
      <c r="T40" s="553" t="s">
        <v>426</v>
      </c>
      <c r="U40" s="916">
        <f>M40</f>
        <v>0</v>
      </c>
      <c r="V40" s="903"/>
      <c r="W40" s="903"/>
      <c r="X40" s="740" t="s">
        <v>230</v>
      </c>
      <c r="Y40" s="914">
        <f>PersonCalcYr3!BN140</f>
        <v>0</v>
      </c>
      <c r="Z40" s="406"/>
    </row>
    <row r="41" spans="1:26" ht="12" customHeight="1" thickBot="1" x14ac:dyDescent="0.3">
      <c r="A41" s="1179"/>
      <c r="B41" s="316" t="s">
        <v>432</v>
      </c>
      <c r="C41" s="918"/>
      <c r="D41" s="553" t="s">
        <v>427</v>
      </c>
      <c r="E41" s="757"/>
      <c r="F41" s="903"/>
      <c r="G41" s="926"/>
      <c r="H41" s="927" t="s">
        <v>567</v>
      </c>
      <c r="I41" s="924">
        <f>PersonCalcYr1!AS96</f>
        <v>0</v>
      </c>
      <c r="J41" s="267"/>
      <c r="K41" s="1179"/>
      <c r="L41" s="553" t="s">
        <v>594</v>
      </c>
      <c r="M41" s="757">
        <f>E41</f>
        <v>0</v>
      </c>
      <c r="N41" s="903"/>
      <c r="O41" s="926"/>
      <c r="P41" s="927" t="s">
        <v>567</v>
      </c>
      <c r="Q41" s="924">
        <f>PersonCalcYr2!BE118</f>
        <v>0</v>
      </c>
      <c r="R41" s="742"/>
      <c r="S41" s="1179"/>
      <c r="T41" s="553" t="s">
        <v>652</v>
      </c>
      <c r="U41" s="757">
        <f>M41</f>
        <v>0</v>
      </c>
      <c r="V41" s="903"/>
      <c r="W41" s="926"/>
      <c r="X41" s="927" t="s">
        <v>567</v>
      </c>
      <c r="Y41" s="924">
        <f>PersonCalcYr3!BO140</f>
        <v>0</v>
      </c>
      <c r="Z41" s="406"/>
    </row>
    <row r="42" spans="1:26" ht="12" customHeight="1" thickBot="1" x14ac:dyDescent="0.3">
      <c r="A42" s="1180"/>
      <c r="B42" s="556"/>
      <c r="C42" s="934"/>
      <c r="D42" s="921" t="s">
        <v>554</v>
      </c>
      <c r="E42" s="935">
        <f>PersonCalcYr1!H97</f>
        <v>12</v>
      </c>
      <c r="F42" s="555"/>
      <c r="G42" s="920"/>
      <c r="H42" s="923"/>
      <c r="I42" s="936"/>
      <c r="J42" s="267"/>
      <c r="K42" s="1180"/>
      <c r="L42" s="921" t="s">
        <v>624</v>
      </c>
      <c r="M42" s="935">
        <f>PersonCalcYr2!H119</f>
        <v>12</v>
      </c>
      <c r="N42" s="555"/>
      <c r="O42" s="920"/>
      <c r="P42" s="923"/>
      <c r="Q42" s="936"/>
      <c r="R42" s="742"/>
      <c r="S42" s="1180"/>
      <c r="T42" s="921" t="s">
        <v>624</v>
      </c>
      <c r="U42" s="935">
        <f>PersonCalcYr3!H141</f>
        <v>12</v>
      </c>
      <c r="V42" s="555"/>
      <c r="W42" s="920"/>
      <c r="X42" s="923"/>
      <c r="Y42" s="936"/>
      <c r="Z42" s="406"/>
    </row>
    <row r="43" spans="1:26" ht="11.25" customHeight="1" thickBot="1" x14ac:dyDescent="0.3">
      <c r="A43" s="937"/>
      <c r="B43" s="903"/>
      <c r="C43" s="926"/>
      <c r="D43" s="553"/>
      <c r="E43" s="926"/>
      <c r="F43" s="903"/>
      <c r="G43" s="903"/>
      <c r="H43" s="267"/>
      <c r="I43" s="267"/>
      <c r="J43" s="903"/>
      <c r="K43" s="938"/>
      <c r="L43" s="553"/>
      <c r="M43" s="926"/>
      <c r="N43" s="903"/>
      <c r="O43" s="903"/>
      <c r="P43" s="267"/>
      <c r="Q43" s="267"/>
      <c r="R43" s="742"/>
      <c r="S43" s="938"/>
      <c r="T43" s="553"/>
      <c r="U43" s="926"/>
      <c r="V43" s="903"/>
      <c r="W43" s="903"/>
      <c r="X43" s="267"/>
      <c r="Y43" s="267"/>
      <c r="Z43" s="406"/>
    </row>
    <row r="44" spans="1:26" ht="12" customHeight="1" x14ac:dyDescent="0.25">
      <c r="A44" s="1178">
        <v>2</v>
      </c>
      <c r="B44" s="939" t="s">
        <v>238</v>
      </c>
      <c r="C44" s="932" t="s">
        <v>532</v>
      </c>
      <c r="D44" s="930" t="s">
        <v>438</v>
      </c>
      <c r="E44" s="932" t="s">
        <v>429</v>
      </c>
      <c r="F44" s="930" t="s">
        <v>446</v>
      </c>
      <c r="G44" s="933">
        <v>0.25</v>
      </c>
      <c r="H44" s="910" t="s">
        <v>422</v>
      </c>
      <c r="I44" s="911">
        <f>PersonCalcYr1!AR101</f>
        <v>0</v>
      </c>
      <c r="J44" s="267"/>
      <c r="K44" s="1178">
        <v>2</v>
      </c>
      <c r="L44" s="930" t="s">
        <v>438</v>
      </c>
      <c r="M44" s="932" t="str">
        <f>E44</f>
        <v>YES</v>
      </c>
      <c r="N44" s="930" t="s">
        <v>446</v>
      </c>
      <c r="O44" s="933">
        <f>G44</f>
        <v>0.25</v>
      </c>
      <c r="P44" s="910" t="s">
        <v>422</v>
      </c>
      <c r="Q44" s="911">
        <f>PersonCalcYr2!BD123</f>
        <v>0</v>
      </c>
      <c r="R44" s="742"/>
      <c r="S44" s="1178">
        <v>2</v>
      </c>
      <c r="T44" s="930" t="s">
        <v>438</v>
      </c>
      <c r="U44" s="932" t="str">
        <f>M44</f>
        <v>YES</v>
      </c>
      <c r="V44" s="930" t="s">
        <v>446</v>
      </c>
      <c r="W44" s="933">
        <f>O44</f>
        <v>0.25</v>
      </c>
      <c r="X44" s="910" t="s">
        <v>422</v>
      </c>
      <c r="Y44" s="911">
        <f>PersonCalcYr3!BN145</f>
        <v>0</v>
      </c>
      <c r="Z44" s="406"/>
    </row>
    <row r="45" spans="1:26" ht="12" customHeight="1" thickBot="1" x14ac:dyDescent="0.3">
      <c r="A45" s="1179"/>
      <c r="B45" s="316" t="s">
        <v>174</v>
      </c>
      <c r="C45" s="915"/>
      <c r="D45" s="553" t="s">
        <v>426</v>
      </c>
      <c r="E45" s="916"/>
      <c r="F45" s="903"/>
      <c r="G45" s="903"/>
      <c r="H45" s="740" t="s">
        <v>230</v>
      </c>
      <c r="I45" s="914">
        <f>PersonCalcYr1!AR106</f>
        <v>0</v>
      </c>
      <c r="J45" s="267"/>
      <c r="K45" s="1179"/>
      <c r="L45" s="553" t="s">
        <v>426</v>
      </c>
      <c r="M45" s="916">
        <f>E45</f>
        <v>0</v>
      </c>
      <c r="N45" s="903"/>
      <c r="O45" s="903"/>
      <c r="P45" s="740" t="s">
        <v>230</v>
      </c>
      <c r="Q45" s="914">
        <f>PersonCalcYr2!BD130</f>
        <v>0</v>
      </c>
      <c r="R45" s="742"/>
      <c r="S45" s="1179"/>
      <c r="T45" s="553" t="s">
        <v>426</v>
      </c>
      <c r="U45" s="916">
        <f>M45</f>
        <v>0</v>
      </c>
      <c r="V45" s="903"/>
      <c r="W45" s="903"/>
      <c r="X45" s="740" t="s">
        <v>230</v>
      </c>
      <c r="Y45" s="914">
        <f>PersonCalcYr3!BN154</f>
        <v>0</v>
      </c>
      <c r="Z45" s="406"/>
    </row>
    <row r="46" spans="1:26" ht="12" customHeight="1" thickBot="1" x14ac:dyDescent="0.3">
      <c r="A46" s="1179"/>
      <c r="B46" s="316" t="s">
        <v>432</v>
      </c>
      <c r="C46" s="918"/>
      <c r="D46" s="553" t="s">
        <v>427</v>
      </c>
      <c r="E46" s="757"/>
      <c r="F46" s="903"/>
      <c r="G46" s="926"/>
      <c r="H46" s="940" t="s">
        <v>567</v>
      </c>
      <c r="I46" s="924">
        <f>PersonCalcYr1!AS106</f>
        <v>0</v>
      </c>
      <c r="J46" s="267"/>
      <c r="K46" s="1179"/>
      <c r="L46" s="553" t="s">
        <v>594</v>
      </c>
      <c r="M46" s="757">
        <f>E46</f>
        <v>0</v>
      </c>
      <c r="N46" s="903"/>
      <c r="O46" s="926"/>
      <c r="P46" s="940" t="s">
        <v>567</v>
      </c>
      <c r="Q46" s="924">
        <f>PersonCalcYr2!BE130</f>
        <v>0</v>
      </c>
      <c r="R46" s="742"/>
      <c r="S46" s="1179"/>
      <c r="T46" s="553" t="s">
        <v>652</v>
      </c>
      <c r="U46" s="757">
        <f>M46</f>
        <v>0</v>
      </c>
      <c r="V46" s="903"/>
      <c r="W46" s="926"/>
      <c r="X46" s="940" t="s">
        <v>567</v>
      </c>
      <c r="Y46" s="924">
        <f>PersonCalcYr3!BO154</f>
        <v>0</v>
      </c>
      <c r="Z46" s="406"/>
    </row>
    <row r="47" spans="1:26" s="301" customFormat="1" ht="12" customHeight="1" thickBot="1" x14ac:dyDescent="0.3">
      <c r="A47" s="1180"/>
      <c r="B47" s="556"/>
      <c r="C47" s="934"/>
      <c r="D47" s="921" t="s">
        <v>554</v>
      </c>
      <c r="E47" s="935">
        <f>PersonCalcYr1!H107</f>
        <v>12</v>
      </c>
      <c r="F47" s="555"/>
      <c r="G47" s="920"/>
      <c r="H47" s="923"/>
      <c r="I47" s="936"/>
      <c r="J47" s="903"/>
      <c r="K47" s="1180"/>
      <c r="L47" s="921" t="s">
        <v>624</v>
      </c>
      <c r="M47" s="935">
        <f>PersonCalcYr2!H131</f>
        <v>12</v>
      </c>
      <c r="N47" s="555"/>
      <c r="O47" s="920"/>
      <c r="P47" s="923"/>
      <c r="Q47" s="936"/>
      <c r="R47" s="926"/>
      <c r="S47" s="1180"/>
      <c r="T47" s="921" t="s">
        <v>624</v>
      </c>
      <c r="U47" s="935">
        <f>PersonCalcYr3!H155</f>
        <v>12</v>
      </c>
      <c r="V47" s="555"/>
      <c r="W47" s="920"/>
      <c r="X47" s="923"/>
      <c r="Y47" s="936"/>
      <c r="Z47" s="300"/>
    </row>
    <row r="48" spans="1:26" ht="11.25" customHeight="1" thickBot="1" x14ac:dyDescent="0.3">
      <c r="A48" s="267"/>
      <c r="B48" s="267"/>
      <c r="C48" s="267"/>
      <c r="D48" s="941"/>
      <c r="E48" s="267"/>
      <c r="F48" s="267"/>
      <c r="G48" s="267"/>
      <c r="H48" s="267"/>
      <c r="I48" s="267"/>
      <c r="J48" s="267"/>
      <c r="K48" s="267"/>
      <c r="L48" s="941"/>
      <c r="M48" s="267"/>
      <c r="N48" s="267"/>
      <c r="O48" s="267"/>
      <c r="P48" s="267"/>
      <c r="Q48" s="267"/>
      <c r="R48" s="742"/>
      <c r="S48" s="267"/>
      <c r="T48" s="941"/>
      <c r="U48" s="267"/>
      <c r="V48" s="267"/>
      <c r="W48" s="267"/>
      <c r="X48" s="267"/>
      <c r="Y48" s="267"/>
      <c r="Z48" s="406"/>
    </row>
    <row r="49" spans="1:26" ht="12" customHeight="1" x14ac:dyDescent="0.25">
      <c r="A49" s="1178">
        <v>3</v>
      </c>
      <c r="B49" s="939" t="s">
        <v>238</v>
      </c>
      <c r="C49" s="932" t="s">
        <v>532</v>
      </c>
      <c r="D49" s="930" t="s">
        <v>438</v>
      </c>
      <c r="E49" s="932" t="s">
        <v>429</v>
      </c>
      <c r="F49" s="930" t="s">
        <v>446</v>
      </c>
      <c r="G49" s="933">
        <v>0.2</v>
      </c>
      <c r="H49" s="910" t="s">
        <v>422</v>
      </c>
      <c r="I49" s="911">
        <f>PersonCalcYr1!AR111</f>
        <v>0</v>
      </c>
      <c r="J49" s="267"/>
      <c r="K49" s="1178">
        <v>3</v>
      </c>
      <c r="L49" s="930" t="s">
        <v>438</v>
      </c>
      <c r="M49" s="932" t="str">
        <f>E49</f>
        <v>YES</v>
      </c>
      <c r="N49" s="930" t="s">
        <v>446</v>
      </c>
      <c r="O49" s="933">
        <f>G49</f>
        <v>0.2</v>
      </c>
      <c r="P49" s="910" t="s">
        <v>422</v>
      </c>
      <c r="Q49" s="911">
        <f>PersonCalcYr2!BD135</f>
        <v>0</v>
      </c>
      <c r="R49" s="742"/>
      <c r="S49" s="1178">
        <v>3</v>
      </c>
      <c r="T49" s="930" t="s">
        <v>438</v>
      </c>
      <c r="U49" s="932" t="str">
        <f>M49</f>
        <v>YES</v>
      </c>
      <c r="V49" s="930" t="s">
        <v>446</v>
      </c>
      <c r="W49" s="933">
        <f>O49</f>
        <v>0.2</v>
      </c>
      <c r="X49" s="910" t="s">
        <v>422</v>
      </c>
      <c r="Y49" s="911">
        <f>PersonCalcYr3!BN159</f>
        <v>0</v>
      </c>
      <c r="Z49" s="406"/>
    </row>
    <row r="50" spans="1:26" ht="12" customHeight="1" thickBot="1" x14ac:dyDescent="0.3">
      <c r="A50" s="1179"/>
      <c r="B50" s="316" t="s">
        <v>174</v>
      </c>
      <c r="C50" s="915"/>
      <c r="D50" s="553" t="s">
        <v>426</v>
      </c>
      <c r="E50" s="916"/>
      <c r="F50" s="903"/>
      <c r="G50" s="903"/>
      <c r="H50" s="740" t="s">
        <v>230</v>
      </c>
      <c r="I50" s="914">
        <f>PersonCalcYr1!AR116</f>
        <v>0</v>
      </c>
      <c r="J50" s="267"/>
      <c r="K50" s="1179"/>
      <c r="L50" s="553" t="s">
        <v>426</v>
      </c>
      <c r="M50" s="916">
        <f>E50</f>
        <v>0</v>
      </c>
      <c r="N50" s="903"/>
      <c r="O50" s="903"/>
      <c r="P50" s="740" t="s">
        <v>230</v>
      </c>
      <c r="Q50" s="914">
        <f>PersonCalcYr2!BD142</f>
        <v>0</v>
      </c>
      <c r="R50" s="742"/>
      <c r="S50" s="1179"/>
      <c r="T50" s="553" t="s">
        <v>426</v>
      </c>
      <c r="U50" s="916">
        <f>M50</f>
        <v>0</v>
      </c>
      <c r="V50" s="903"/>
      <c r="W50" s="903"/>
      <c r="X50" s="740" t="s">
        <v>230</v>
      </c>
      <c r="Y50" s="914">
        <f>PersonCalcYr3!BN168</f>
        <v>0</v>
      </c>
      <c r="Z50" s="406"/>
    </row>
    <row r="51" spans="1:26" ht="12" customHeight="1" thickBot="1" x14ac:dyDescent="0.3">
      <c r="A51" s="1179"/>
      <c r="B51" s="316" t="s">
        <v>432</v>
      </c>
      <c r="C51" s="918"/>
      <c r="D51" s="553" t="s">
        <v>427</v>
      </c>
      <c r="E51" s="757"/>
      <c r="F51" s="903"/>
      <c r="G51" s="926"/>
      <c r="H51" s="927" t="s">
        <v>567</v>
      </c>
      <c r="I51" s="924">
        <f>PersonCalcYr1!AS116</f>
        <v>0</v>
      </c>
      <c r="J51" s="267"/>
      <c r="K51" s="1179"/>
      <c r="L51" s="553" t="s">
        <v>594</v>
      </c>
      <c r="M51" s="757">
        <f>E51</f>
        <v>0</v>
      </c>
      <c r="N51" s="903"/>
      <c r="O51" s="926"/>
      <c r="P51" s="927" t="s">
        <v>567</v>
      </c>
      <c r="Q51" s="924">
        <f>PersonCalcYr2!BE142</f>
        <v>0</v>
      </c>
      <c r="R51" s="742"/>
      <c r="S51" s="1179"/>
      <c r="T51" s="553" t="s">
        <v>652</v>
      </c>
      <c r="U51" s="757">
        <f>M51</f>
        <v>0</v>
      </c>
      <c r="V51" s="903"/>
      <c r="W51" s="926"/>
      <c r="X51" s="927" t="s">
        <v>567</v>
      </c>
      <c r="Y51" s="924">
        <f>PersonCalcYr3!BO168</f>
        <v>0</v>
      </c>
      <c r="Z51" s="406"/>
    </row>
    <row r="52" spans="1:26" s="301" customFormat="1" ht="12" customHeight="1" thickBot="1" x14ac:dyDescent="0.3">
      <c r="A52" s="1180"/>
      <c r="B52" s="556"/>
      <c r="C52" s="934"/>
      <c r="D52" s="921" t="s">
        <v>554</v>
      </c>
      <c r="E52" s="935">
        <f>PersonCalcYr1!H117</f>
        <v>12</v>
      </c>
      <c r="F52" s="555"/>
      <c r="G52" s="920"/>
      <c r="H52" s="923"/>
      <c r="I52" s="936"/>
      <c r="J52" s="903"/>
      <c r="K52" s="1180"/>
      <c r="L52" s="921" t="s">
        <v>624</v>
      </c>
      <c r="M52" s="935">
        <f>PersonCalcYr2!H143</f>
        <v>12</v>
      </c>
      <c r="N52" s="555"/>
      <c r="O52" s="920"/>
      <c r="P52" s="923"/>
      <c r="Q52" s="936"/>
      <c r="R52" s="926"/>
      <c r="S52" s="1180"/>
      <c r="T52" s="921" t="s">
        <v>624</v>
      </c>
      <c r="U52" s="935">
        <f>PersonCalcYr3!H169</f>
        <v>12</v>
      </c>
      <c r="V52" s="555"/>
      <c r="W52" s="920"/>
      <c r="X52" s="923"/>
      <c r="Y52" s="936"/>
      <c r="Z52" s="300"/>
    </row>
    <row r="53" spans="1:26" ht="11.25" customHeight="1" thickBot="1" x14ac:dyDescent="0.3">
      <c r="A53" s="267"/>
      <c r="B53" s="267"/>
      <c r="C53" s="267"/>
      <c r="D53" s="941"/>
      <c r="E53" s="267"/>
      <c r="F53" s="267"/>
      <c r="G53" s="267"/>
      <c r="H53" s="267"/>
      <c r="I53" s="267"/>
      <c r="J53" s="267"/>
      <c r="K53" s="267"/>
      <c r="L53" s="941"/>
      <c r="M53" s="267"/>
      <c r="N53" s="267"/>
      <c r="O53" s="267"/>
      <c r="P53" s="267"/>
      <c r="Q53" s="267"/>
      <c r="R53" s="742"/>
      <c r="S53" s="267"/>
      <c r="T53" s="941"/>
      <c r="U53" s="267"/>
      <c r="V53" s="267"/>
      <c r="W53" s="267"/>
      <c r="X53" s="267"/>
      <c r="Y53" s="267"/>
      <c r="Z53" s="406"/>
    </row>
    <row r="54" spans="1:26" ht="12" customHeight="1" x14ac:dyDescent="0.25">
      <c r="A54" s="1178">
        <v>4</v>
      </c>
      <c r="B54" s="939" t="s">
        <v>238</v>
      </c>
      <c r="C54" s="932" t="s">
        <v>532</v>
      </c>
      <c r="D54" s="930" t="s">
        <v>438</v>
      </c>
      <c r="E54" s="932" t="s">
        <v>429</v>
      </c>
      <c r="F54" s="930" t="s">
        <v>446</v>
      </c>
      <c r="G54" s="933">
        <v>1</v>
      </c>
      <c r="H54" s="910" t="s">
        <v>422</v>
      </c>
      <c r="I54" s="911">
        <f>PersonCalcYr1!AR121</f>
        <v>0</v>
      </c>
      <c r="J54" s="267"/>
      <c r="K54" s="1178">
        <v>4</v>
      </c>
      <c r="L54" s="930" t="s">
        <v>438</v>
      </c>
      <c r="M54" s="932" t="str">
        <f>E54</f>
        <v>YES</v>
      </c>
      <c r="N54" s="930" t="s">
        <v>446</v>
      </c>
      <c r="O54" s="933">
        <f>G54</f>
        <v>1</v>
      </c>
      <c r="P54" s="910" t="s">
        <v>422</v>
      </c>
      <c r="Q54" s="911">
        <f>PersonCalcYr2!BD147</f>
        <v>0</v>
      </c>
      <c r="R54" s="742"/>
      <c r="S54" s="1178">
        <v>4</v>
      </c>
      <c r="T54" s="930" t="s">
        <v>438</v>
      </c>
      <c r="U54" s="932" t="str">
        <f>M54</f>
        <v>YES</v>
      </c>
      <c r="V54" s="930" t="s">
        <v>446</v>
      </c>
      <c r="W54" s="933">
        <f>O54</f>
        <v>1</v>
      </c>
      <c r="X54" s="910" t="s">
        <v>422</v>
      </c>
      <c r="Y54" s="911">
        <f>PersonCalcYr3!BN173</f>
        <v>0</v>
      </c>
      <c r="Z54" s="406"/>
    </row>
    <row r="55" spans="1:26" ht="12" customHeight="1" thickBot="1" x14ac:dyDescent="0.3">
      <c r="A55" s="1179"/>
      <c r="B55" s="316" t="s">
        <v>174</v>
      </c>
      <c r="C55" s="915"/>
      <c r="D55" s="553" t="s">
        <v>426</v>
      </c>
      <c r="E55" s="916"/>
      <c r="F55" s="903"/>
      <c r="G55" s="903"/>
      <c r="H55" s="740" t="s">
        <v>230</v>
      </c>
      <c r="I55" s="914">
        <f>PersonCalcYr1!AR126</f>
        <v>0</v>
      </c>
      <c r="J55" s="267"/>
      <c r="K55" s="1179"/>
      <c r="L55" s="553" t="s">
        <v>426</v>
      </c>
      <c r="M55" s="916">
        <f>E55</f>
        <v>0</v>
      </c>
      <c r="N55" s="903"/>
      <c r="O55" s="903"/>
      <c r="P55" s="740" t="s">
        <v>230</v>
      </c>
      <c r="Q55" s="914">
        <f>PersonCalcYr2!BD154</f>
        <v>0</v>
      </c>
      <c r="R55" s="742"/>
      <c r="S55" s="1179"/>
      <c r="T55" s="553" t="s">
        <v>426</v>
      </c>
      <c r="U55" s="916">
        <f>M55</f>
        <v>0</v>
      </c>
      <c r="V55" s="903"/>
      <c r="W55" s="903"/>
      <c r="X55" s="740" t="s">
        <v>230</v>
      </c>
      <c r="Y55" s="914">
        <f>PersonCalcYr3!BN182</f>
        <v>0</v>
      </c>
      <c r="Z55" s="406"/>
    </row>
    <row r="56" spans="1:26" ht="12" customHeight="1" thickBot="1" x14ac:dyDescent="0.3">
      <c r="A56" s="1179"/>
      <c r="B56" s="316" t="s">
        <v>432</v>
      </c>
      <c r="C56" s="918"/>
      <c r="D56" s="553" t="s">
        <v>427</v>
      </c>
      <c r="E56" s="757"/>
      <c r="F56" s="903"/>
      <c r="G56" s="926"/>
      <c r="H56" s="927" t="s">
        <v>567</v>
      </c>
      <c r="I56" s="924">
        <f>PersonCalcYr1!AS126</f>
        <v>0</v>
      </c>
      <c r="J56" s="267"/>
      <c r="K56" s="1179"/>
      <c r="L56" s="553" t="s">
        <v>595</v>
      </c>
      <c r="M56" s="757">
        <f>E56</f>
        <v>0</v>
      </c>
      <c r="N56" s="903"/>
      <c r="O56" s="926"/>
      <c r="P56" s="927" t="s">
        <v>567</v>
      </c>
      <c r="Q56" s="924">
        <f>PersonCalcYr2!BE154</f>
        <v>0</v>
      </c>
      <c r="R56" s="742"/>
      <c r="S56" s="1179"/>
      <c r="T56" s="553" t="s">
        <v>653</v>
      </c>
      <c r="U56" s="757">
        <f>M56</f>
        <v>0</v>
      </c>
      <c r="V56" s="903"/>
      <c r="W56" s="926"/>
      <c r="X56" s="927" t="s">
        <v>567</v>
      </c>
      <c r="Y56" s="924">
        <f>PersonCalcYr3!BO182</f>
        <v>0</v>
      </c>
      <c r="Z56" s="406"/>
    </row>
    <row r="57" spans="1:26" s="301" customFormat="1" ht="12" customHeight="1" thickBot="1" x14ac:dyDescent="0.3">
      <c r="A57" s="1180"/>
      <c r="B57" s="556"/>
      <c r="C57" s="934"/>
      <c r="D57" s="921" t="s">
        <v>554</v>
      </c>
      <c r="E57" s="935">
        <f>PersonCalcYr1!H127</f>
        <v>12</v>
      </c>
      <c r="F57" s="555"/>
      <c r="G57" s="920"/>
      <c r="H57" s="923"/>
      <c r="I57" s="936"/>
      <c r="J57" s="903"/>
      <c r="K57" s="1180"/>
      <c r="L57" s="921" t="s">
        <v>624</v>
      </c>
      <c r="M57" s="935">
        <f>PersonCalcYr2!H155</f>
        <v>12</v>
      </c>
      <c r="N57" s="555"/>
      <c r="O57" s="920"/>
      <c r="P57" s="923"/>
      <c r="Q57" s="936"/>
      <c r="R57" s="926"/>
      <c r="S57" s="1180"/>
      <c r="T57" s="921" t="s">
        <v>624</v>
      </c>
      <c r="U57" s="935">
        <f>PersonCalcYr3!H183</f>
        <v>12</v>
      </c>
      <c r="V57" s="555"/>
      <c r="W57" s="920"/>
      <c r="X57" s="923"/>
      <c r="Y57" s="936"/>
      <c r="Z57" s="300"/>
    </row>
    <row r="58" spans="1:26" ht="11.25" customHeight="1" thickBot="1" x14ac:dyDescent="0.3">
      <c r="A58" s="267"/>
      <c r="B58" s="267"/>
      <c r="C58" s="267"/>
      <c r="D58" s="941"/>
      <c r="E58" s="267"/>
      <c r="F58" s="267"/>
      <c r="G58" s="267"/>
      <c r="H58" s="267"/>
      <c r="I58" s="267"/>
      <c r="J58" s="267"/>
      <c r="K58" s="267"/>
      <c r="L58" s="941"/>
      <c r="M58" s="267"/>
      <c r="N58" s="267"/>
      <c r="O58" s="267"/>
      <c r="P58" s="267"/>
      <c r="Q58" s="267"/>
      <c r="R58" s="742"/>
      <c r="S58" s="267"/>
      <c r="T58" s="941"/>
      <c r="U58" s="267"/>
      <c r="V58" s="267"/>
      <c r="W58" s="267"/>
      <c r="X58" s="267"/>
      <c r="Y58" s="267"/>
      <c r="Z58" s="406"/>
    </row>
    <row r="59" spans="1:26" ht="12" customHeight="1" x14ac:dyDescent="0.25">
      <c r="A59" s="1178">
        <v>5</v>
      </c>
      <c r="B59" s="939" t="s">
        <v>238</v>
      </c>
      <c r="C59" s="932" t="s">
        <v>55</v>
      </c>
      <c r="D59" s="930" t="s">
        <v>438</v>
      </c>
      <c r="E59" s="932" t="s">
        <v>429</v>
      </c>
      <c r="F59" s="930" t="s">
        <v>446</v>
      </c>
      <c r="G59" s="933">
        <v>1</v>
      </c>
      <c r="H59" s="910" t="s">
        <v>422</v>
      </c>
      <c r="I59" s="911">
        <f>PersonCalcYr1!AR131</f>
        <v>0</v>
      </c>
      <c r="J59" s="267"/>
      <c r="K59" s="1178">
        <v>5</v>
      </c>
      <c r="L59" s="930" t="s">
        <v>438</v>
      </c>
      <c r="M59" s="932" t="str">
        <f>E59</f>
        <v>YES</v>
      </c>
      <c r="N59" s="930" t="s">
        <v>446</v>
      </c>
      <c r="O59" s="933">
        <f>G59</f>
        <v>1</v>
      </c>
      <c r="P59" s="910" t="s">
        <v>422</v>
      </c>
      <c r="Q59" s="911">
        <f>PersonCalcYr2!BD159</f>
        <v>0</v>
      </c>
      <c r="R59" s="742"/>
      <c r="S59" s="1178">
        <v>5</v>
      </c>
      <c r="T59" s="930" t="s">
        <v>438</v>
      </c>
      <c r="U59" s="932" t="str">
        <f>M59</f>
        <v>YES</v>
      </c>
      <c r="V59" s="930" t="s">
        <v>446</v>
      </c>
      <c r="W59" s="933">
        <f>O59</f>
        <v>1</v>
      </c>
      <c r="X59" s="910" t="s">
        <v>422</v>
      </c>
      <c r="Y59" s="911">
        <f>PersonCalcYr3!BN187</f>
        <v>0</v>
      </c>
      <c r="Z59" s="406"/>
    </row>
    <row r="60" spans="1:26" ht="12" customHeight="1" thickBot="1" x14ac:dyDescent="0.3">
      <c r="A60" s="1179"/>
      <c r="B60" s="316" t="s">
        <v>174</v>
      </c>
      <c r="C60" s="915"/>
      <c r="D60" s="553" t="s">
        <v>426</v>
      </c>
      <c r="E60" s="916"/>
      <c r="F60" s="903"/>
      <c r="G60" s="903"/>
      <c r="H60" s="740" t="s">
        <v>230</v>
      </c>
      <c r="I60" s="914">
        <f>PersonCalcYr1!AR136</f>
        <v>0</v>
      </c>
      <c r="J60" s="267"/>
      <c r="K60" s="1179"/>
      <c r="L60" s="553" t="s">
        <v>426</v>
      </c>
      <c r="M60" s="916">
        <f>E60</f>
        <v>0</v>
      </c>
      <c r="N60" s="903"/>
      <c r="O60" s="903"/>
      <c r="P60" s="740" t="s">
        <v>230</v>
      </c>
      <c r="Q60" s="914">
        <f>PersonCalcYr2!BD166</f>
        <v>0</v>
      </c>
      <c r="R60" s="742"/>
      <c r="S60" s="1179"/>
      <c r="T60" s="553" t="s">
        <v>426</v>
      </c>
      <c r="U60" s="916">
        <f>M60</f>
        <v>0</v>
      </c>
      <c r="V60" s="903"/>
      <c r="W60" s="903"/>
      <c r="X60" s="740" t="s">
        <v>230</v>
      </c>
      <c r="Y60" s="914">
        <f>PersonCalcYr3!BN196</f>
        <v>0</v>
      </c>
      <c r="Z60" s="406"/>
    </row>
    <row r="61" spans="1:26" ht="12" customHeight="1" thickBot="1" x14ac:dyDescent="0.3">
      <c r="A61" s="1179"/>
      <c r="B61" s="316" t="s">
        <v>432</v>
      </c>
      <c r="C61" s="918"/>
      <c r="D61" s="553" t="s">
        <v>427</v>
      </c>
      <c r="E61" s="757"/>
      <c r="F61" s="903"/>
      <c r="G61" s="926"/>
      <c r="H61" s="927" t="s">
        <v>567</v>
      </c>
      <c r="I61" s="924">
        <f>PersonCalcYr1!AS136</f>
        <v>0</v>
      </c>
      <c r="J61" s="267"/>
      <c r="K61" s="1179"/>
      <c r="L61" s="553" t="s">
        <v>594</v>
      </c>
      <c r="M61" s="757">
        <f>E61</f>
        <v>0</v>
      </c>
      <c r="N61" s="903"/>
      <c r="O61" s="926"/>
      <c r="P61" s="927" t="s">
        <v>567</v>
      </c>
      <c r="Q61" s="924">
        <f>PersonCalcYr2!BE166</f>
        <v>0</v>
      </c>
      <c r="R61" s="742"/>
      <c r="S61" s="1179"/>
      <c r="T61" s="553" t="s">
        <v>652</v>
      </c>
      <c r="U61" s="757">
        <f>M61</f>
        <v>0</v>
      </c>
      <c r="V61" s="903"/>
      <c r="W61" s="926"/>
      <c r="X61" s="927" t="s">
        <v>567</v>
      </c>
      <c r="Y61" s="924">
        <f>PersonCalcYr3!BO196</f>
        <v>0</v>
      </c>
      <c r="Z61" s="406"/>
    </row>
    <row r="62" spans="1:26" s="301" customFormat="1" ht="12" customHeight="1" thickBot="1" x14ac:dyDescent="0.3">
      <c r="A62" s="1180"/>
      <c r="B62" s="556"/>
      <c r="C62" s="934"/>
      <c r="D62" s="921" t="s">
        <v>554</v>
      </c>
      <c r="E62" s="935">
        <f>PersonCalcYr1!H137</f>
        <v>12</v>
      </c>
      <c r="F62" s="555"/>
      <c r="G62" s="920"/>
      <c r="H62" s="923"/>
      <c r="I62" s="936"/>
      <c r="J62" s="903"/>
      <c r="K62" s="1180"/>
      <c r="L62" s="921" t="s">
        <v>624</v>
      </c>
      <c r="M62" s="935">
        <f>PersonCalcYr2!H167</f>
        <v>12</v>
      </c>
      <c r="N62" s="555"/>
      <c r="O62" s="920"/>
      <c r="P62" s="923"/>
      <c r="Q62" s="936"/>
      <c r="R62" s="926"/>
      <c r="S62" s="1180"/>
      <c r="T62" s="921" t="s">
        <v>624</v>
      </c>
      <c r="U62" s="935">
        <f>PersonCalcYr3!H197</f>
        <v>12</v>
      </c>
      <c r="V62" s="555"/>
      <c r="W62" s="920"/>
      <c r="X62" s="923"/>
      <c r="Y62" s="936"/>
      <c r="Z62" s="300"/>
    </row>
    <row r="63" spans="1:26" ht="11.25" customHeight="1" x14ac:dyDescent="0.25">
      <c r="A63" s="267"/>
      <c r="B63" s="267"/>
      <c r="C63" s="267"/>
      <c r="D63" s="267"/>
      <c r="E63" s="267"/>
      <c r="F63" s="267"/>
      <c r="G63" s="267"/>
      <c r="H63" s="267"/>
      <c r="I63" s="267"/>
      <c r="J63" s="267"/>
      <c r="K63" s="267"/>
      <c r="L63" s="267"/>
      <c r="M63" s="267"/>
      <c r="N63" s="267"/>
      <c r="O63" s="267"/>
      <c r="P63" s="267"/>
      <c r="Q63" s="267"/>
      <c r="R63" s="742"/>
      <c r="S63" s="267"/>
      <c r="T63" s="267"/>
      <c r="U63" s="267"/>
      <c r="V63" s="267"/>
      <c r="W63" s="267"/>
      <c r="X63" s="267"/>
      <c r="Y63" s="267"/>
      <c r="Z63" s="406"/>
    </row>
    <row r="64" spans="1:26" ht="13.5" customHeight="1" thickBot="1" x14ac:dyDescent="0.3">
      <c r="A64" s="906"/>
      <c r="B64" s="905" t="s">
        <v>191</v>
      </c>
      <c r="C64" s="906"/>
      <c r="D64" s="906"/>
      <c r="E64" s="906"/>
      <c r="F64" s="906"/>
      <c r="G64" s="906"/>
      <c r="H64" s="906"/>
      <c r="I64" s="906" t="s">
        <v>433</v>
      </c>
      <c r="K64" s="906"/>
      <c r="L64" s="905" t="s">
        <v>628</v>
      </c>
      <c r="M64" s="906"/>
      <c r="N64" s="906"/>
      <c r="O64" s="907"/>
      <c r="P64" s="906"/>
      <c r="Q64" s="907" t="s">
        <v>596</v>
      </c>
      <c r="R64" s="406"/>
      <c r="S64" s="906"/>
      <c r="T64" s="905" t="s">
        <v>628</v>
      </c>
      <c r="U64" s="906"/>
      <c r="V64" s="906"/>
      <c r="W64" s="907"/>
      <c r="X64" s="906"/>
      <c r="Y64" s="907" t="s">
        <v>654</v>
      </c>
      <c r="Z64" s="406"/>
    </row>
    <row r="65" spans="1:26" ht="12" customHeight="1" x14ac:dyDescent="0.25">
      <c r="A65" s="1178">
        <v>1</v>
      </c>
      <c r="B65" s="942"/>
      <c r="C65" s="557"/>
      <c r="D65" s="557"/>
      <c r="E65" s="557"/>
      <c r="F65" s="557"/>
      <c r="G65" s="557"/>
      <c r="H65" s="910" t="s">
        <v>447</v>
      </c>
      <c r="I65" s="943">
        <f>PersonCalcYr1!AR162</f>
        <v>0</v>
      </c>
      <c r="J65" s="267"/>
      <c r="K65" s="1178">
        <v>1</v>
      </c>
      <c r="L65" s="557"/>
      <c r="M65" s="557"/>
      <c r="N65" s="557"/>
      <c r="O65" s="557"/>
      <c r="P65" s="910" t="s">
        <v>447</v>
      </c>
      <c r="Q65" s="943">
        <f>PersonCalcYr2!BD200</f>
        <v>0</v>
      </c>
      <c r="R65" s="742"/>
      <c r="S65" s="1178">
        <v>1</v>
      </c>
      <c r="T65" s="557"/>
      <c r="U65" s="557"/>
      <c r="V65" s="557"/>
      <c r="W65" s="557"/>
      <c r="X65" s="910" t="s">
        <v>447</v>
      </c>
      <c r="Y65" s="943">
        <f>PersonCalcYr3!BN238</f>
        <v>0</v>
      </c>
      <c r="Z65" s="406"/>
    </row>
    <row r="66" spans="1:26" ht="12" customHeight="1" x14ac:dyDescent="0.25">
      <c r="A66" s="1179"/>
      <c r="B66" s="903" t="s">
        <v>448</v>
      </c>
      <c r="C66" s="757" t="s">
        <v>192</v>
      </c>
      <c r="D66" s="553" t="s">
        <v>438</v>
      </c>
      <c r="E66" s="912" t="s">
        <v>429</v>
      </c>
      <c r="F66" s="553" t="s">
        <v>446</v>
      </c>
      <c r="G66" s="944">
        <v>0</v>
      </c>
      <c r="H66" s="740" t="s">
        <v>414</v>
      </c>
      <c r="I66" s="914">
        <f>PersonCalcYr1!AR144</f>
        <v>0</v>
      </c>
      <c r="J66" s="267"/>
      <c r="K66" s="1179"/>
      <c r="L66" s="553" t="s">
        <v>438</v>
      </c>
      <c r="M66" s="912" t="str">
        <f>E66</f>
        <v>YES</v>
      </c>
      <c r="N66" s="553" t="s">
        <v>446</v>
      </c>
      <c r="O66" s="944">
        <f>G66</f>
        <v>0</v>
      </c>
      <c r="P66" s="740" t="s">
        <v>414</v>
      </c>
      <c r="Q66" s="914">
        <f>PersonCalcYr2!BD174</f>
        <v>0</v>
      </c>
      <c r="R66" s="742"/>
      <c r="S66" s="1179"/>
      <c r="T66" s="553" t="s">
        <v>438</v>
      </c>
      <c r="U66" s="912" t="str">
        <f>M66</f>
        <v>YES</v>
      </c>
      <c r="V66" s="553" t="s">
        <v>446</v>
      </c>
      <c r="W66" s="944">
        <f>O66</f>
        <v>0</v>
      </c>
      <c r="X66" s="740" t="s">
        <v>414</v>
      </c>
      <c r="Y66" s="914">
        <f>PersonCalcYr3!BN204</f>
        <v>0</v>
      </c>
      <c r="Z66" s="406"/>
    </row>
    <row r="67" spans="1:26" ht="12" customHeight="1" x14ac:dyDescent="0.25">
      <c r="A67" s="1179"/>
      <c r="B67" s="903" t="s">
        <v>174</v>
      </c>
      <c r="C67" s="915"/>
      <c r="D67" s="553" t="s">
        <v>426</v>
      </c>
      <c r="E67" s="916"/>
      <c r="F67" s="553" t="s">
        <v>434</v>
      </c>
      <c r="G67" s="944">
        <v>0</v>
      </c>
      <c r="H67" s="740" t="s">
        <v>443</v>
      </c>
      <c r="I67" s="914">
        <f>PersonCalcYr1!AR153</f>
        <v>0</v>
      </c>
      <c r="J67" s="267"/>
      <c r="K67" s="1179"/>
      <c r="L67" s="553" t="s">
        <v>426</v>
      </c>
      <c r="M67" s="916">
        <f>E67</f>
        <v>0</v>
      </c>
      <c r="N67" s="553" t="s">
        <v>434</v>
      </c>
      <c r="O67" s="944">
        <f>G67</f>
        <v>0</v>
      </c>
      <c r="P67" s="740" t="s">
        <v>443</v>
      </c>
      <c r="Q67" s="914">
        <f>PersonCalcYr2!BD187</f>
        <v>0</v>
      </c>
      <c r="R67" s="742"/>
      <c r="S67" s="1179"/>
      <c r="T67" s="553" t="s">
        <v>426</v>
      </c>
      <c r="U67" s="916">
        <f>M67</f>
        <v>0</v>
      </c>
      <c r="V67" s="553" t="s">
        <v>434</v>
      </c>
      <c r="W67" s="944">
        <f>O67</f>
        <v>0</v>
      </c>
      <c r="X67" s="740" t="s">
        <v>443</v>
      </c>
      <c r="Y67" s="914">
        <f>PersonCalcYr3!BN221</f>
        <v>0</v>
      </c>
      <c r="Z67" s="406"/>
    </row>
    <row r="68" spans="1:26" ht="12" customHeight="1" x14ac:dyDescent="0.25">
      <c r="A68" s="1179"/>
      <c r="B68" s="418" t="s">
        <v>562</v>
      </c>
      <c r="C68" s="918"/>
      <c r="D68" s="553" t="s">
        <v>427</v>
      </c>
      <c r="E68" s="757"/>
      <c r="F68" s="553" t="s">
        <v>126</v>
      </c>
      <c r="G68" s="757" t="s">
        <v>173</v>
      </c>
      <c r="H68" s="740" t="s">
        <v>422</v>
      </c>
      <c r="I68" s="914">
        <f>PersonCalcYr1!AR170</f>
        <v>0</v>
      </c>
      <c r="J68" s="267"/>
      <c r="K68" s="1179"/>
      <c r="L68" s="553" t="s">
        <v>594</v>
      </c>
      <c r="M68" s="757">
        <f>E68</f>
        <v>0</v>
      </c>
      <c r="N68" s="553" t="s">
        <v>126</v>
      </c>
      <c r="O68" s="757" t="str">
        <f>G68</f>
        <v>None</v>
      </c>
      <c r="P68" s="740" t="s">
        <v>422</v>
      </c>
      <c r="Q68" s="914">
        <f>PersonCalcYr2!BD210</f>
        <v>0</v>
      </c>
      <c r="R68" s="742"/>
      <c r="S68" s="1179"/>
      <c r="T68" s="553" t="s">
        <v>652</v>
      </c>
      <c r="U68" s="757">
        <f>M68</f>
        <v>0</v>
      </c>
      <c r="V68" s="553" t="s">
        <v>126</v>
      </c>
      <c r="W68" s="757" t="str">
        <f>O68</f>
        <v>None</v>
      </c>
      <c r="X68" s="740" t="s">
        <v>422</v>
      </c>
      <c r="Y68" s="914">
        <f>PersonCalcYr3!BN250</f>
        <v>0</v>
      </c>
      <c r="Z68" s="406"/>
    </row>
    <row r="69" spans="1:26" ht="12" customHeight="1" x14ac:dyDescent="0.25">
      <c r="A69" s="1179"/>
      <c r="B69" s="267"/>
      <c r="C69" s="267"/>
      <c r="D69" s="553" t="s">
        <v>554</v>
      </c>
      <c r="E69" s="945">
        <f>PersonCalcYr1!H169</f>
        <v>12</v>
      </c>
      <c r="F69" s="553"/>
      <c r="G69" s="946"/>
      <c r="H69" s="740" t="s">
        <v>230</v>
      </c>
      <c r="I69" s="914">
        <f>PersonCalcYr1!AR171</f>
        <v>0</v>
      </c>
      <c r="J69" s="267"/>
      <c r="K69" s="1179"/>
      <c r="L69" s="553" t="s">
        <v>625</v>
      </c>
      <c r="M69" s="945">
        <f>PersonCalcYr2!H209</f>
        <v>12</v>
      </c>
      <c r="N69" s="553"/>
      <c r="O69" s="946"/>
      <c r="P69" s="740" t="s">
        <v>230</v>
      </c>
      <c r="Q69" s="914">
        <f>PersonCalcYr2!BD211</f>
        <v>0</v>
      </c>
      <c r="R69" s="742"/>
      <c r="S69" s="1179"/>
      <c r="T69" s="553" t="s">
        <v>625</v>
      </c>
      <c r="U69" s="945">
        <f>PersonCalcYr3!H249</f>
        <v>12</v>
      </c>
      <c r="V69" s="553"/>
      <c r="W69" s="946"/>
      <c r="X69" s="740" t="s">
        <v>230</v>
      </c>
      <c r="Y69" s="914">
        <f>PersonCalcYr3!BN252</f>
        <v>0</v>
      </c>
      <c r="Z69" s="406"/>
    </row>
    <row r="70" spans="1:26" ht="12" customHeight="1" thickBot="1" x14ac:dyDescent="0.3">
      <c r="A70" s="1179"/>
      <c r="B70" s="553"/>
      <c r="C70" s="947"/>
      <c r="D70" s="941"/>
      <c r="E70" s="267"/>
      <c r="F70" s="553" t="s">
        <v>645</v>
      </c>
      <c r="G70" s="948" t="s">
        <v>669</v>
      </c>
      <c r="H70" s="740" t="s">
        <v>127</v>
      </c>
      <c r="I70" s="914">
        <f>PersonCalcYr1!AR172</f>
        <v>0</v>
      </c>
      <c r="J70" s="267"/>
      <c r="K70" s="1179"/>
      <c r="L70" s="941"/>
      <c r="M70" s="267"/>
      <c r="N70" s="553" t="s">
        <v>646</v>
      </c>
      <c r="O70" s="948" t="str">
        <f>G70</f>
        <v>No</v>
      </c>
      <c r="P70" s="740" t="s">
        <v>127</v>
      </c>
      <c r="Q70" s="914">
        <f>PersonCalcYr2!BD212</f>
        <v>0</v>
      </c>
      <c r="R70" s="742"/>
      <c r="S70" s="1179"/>
      <c r="T70" s="941"/>
      <c r="U70" s="267"/>
      <c r="V70" s="553" t="s">
        <v>646</v>
      </c>
      <c r="W70" s="948" t="str">
        <f>O70</f>
        <v>No</v>
      </c>
      <c r="X70" s="740" t="s">
        <v>127</v>
      </c>
      <c r="Y70" s="914">
        <f>PersonCalcYr3!BN253</f>
        <v>0</v>
      </c>
      <c r="Z70" s="406"/>
    </row>
    <row r="71" spans="1:26" ht="12" customHeight="1" thickBot="1" x14ac:dyDescent="0.3">
      <c r="A71" s="1180"/>
      <c r="B71" s="555"/>
      <c r="C71" s="920"/>
      <c r="D71" s="921"/>
      <c r="E71" s="920"/>
      <c r="F71" s="555"/>
      <c r="G71" s="555"/>
      <c r="H71" s="949" t="s">
        <v>567</v>
      </c>
      <c r="I71" s="924">
        <f>PersonCalcYr1!AS172</f>
        <v>0</v>
      </c>
      <c r="J71" s="267"/>
      <c r="K71" s="1180"/>
      <c r="L71" s="921"/>
      <c r="M71" s="920"/>
      <c r="N71" s="555"/>
      <c r="O71" s="555"/>
      <c r="P71" s="949" t="s">
        <v>567</v>
      </c>
      <c r="Q71" s="924">
        <f>PersonCalcYr2!BE212</f>
        <v>0</v>
      </c>
      <c r="R71" s="742"/>
      <c r="S71" s="1180"/>
      <c r="T71" s="921"/>
      <c r="U71" s="920"/>
      <c r="V71" s="555"/>
      <c r="W71" s="555"/>
      <c r="X71" s="949" t="s">
        <v>567</v>
      </c>
      <c r="Y71" s="924">
        <f>PersonCalcYr3!BO253</f>
        <v>0</v>
      </c>
      <c r="Z71" s="406"/>
    </row>
    <row r="72" spans="1:26" ht="11.25" customHeight="1" thickBot="1" x14ac:dyDescent="0.3">
      <c r="A72" s="267"/>
      <c r="B72" s="267"/>
      <c r="C72" s="267"/>
      <c r="D72" s="941"/>
      <c r="E72" s="267"/>
      <c r="F72" s="267"/>
      <c r="G72" s="267"/>
      <c r="H72" s="267"/>
      <c r="I72" s="267"/>
      <c r="J72" s="267"/>
      <c r="K72" s="267"/>
      <c r="L72" s="941"/>
      <c r="M72" s="267"/>
      <c r="N72" s="267"/>
      <c r="O72" s="267"/>
      <c r="P72" s="267"/>
      <c r="Q72" s="267"/>
      <c r="R72" s="742"/>
      <c r="S72" s="267"/>
      <c r="T72" s="941"/>
      <c r="U72" s="267"/>
      <c r="V72" s="267"/>
      <c r="W72" s="267"/>
      <c r="X72" s="267"/>
      <c r="Y72" s="267"/>
      <c r="Z72" s="406"/>
    </row>
    <row r="73" spans="1:26" ht="12" customHeight="1" x14ac:dyDescent="0.25">
      <c r="A73" s="1178">
        <v>2</v>
      </c>
      <c r="B73" s="942"/>
      <c r="C73" s="557"/>
      <c r="D73" s="950"/>
      <c r="E73" s="557"/>
      <c r="F73" s="557"/>
      <c r="G73" s="557"/>
      <c r="H73" s="910" t="s">
        <v>447</v>
      </c>
      <c r="I73" s="943">
        <f>PersonCalcYr1!AR194</f>
        <v>0</v>
      </c>
      <c r="J73" s="267"/>
      <c r="K73" s="1178">
        <v>2</v>
      </c>
      <c r="L73" s="950"/>
      <c r="M73" s="557"/>
      <c r="N73" s="557"/>
      <c r="O73" s="557"/>
      <c r="P73" s="910" t="s">
        <v>447</v>
      </c>
      <c r="Q73" s="943">
        <f>PersonCalcYr2!BD242</f>
        <v>0</v>
      </c>
      <c r="R73" s="742"/>
      <c r="S73" s="1178">
        <v>2</v>
      </c>
      <c r="T73" s="950"/>
      <c r="U73" s="557"/>
      <c r="V73" s="557"/>
      <c r="W73" s="557"/>
      <c r="X73" s="910" t="s">
        <v>447</v>
      </c>
      <c r="Y73" s="943">
        <f>PersonCalcYr3!BN291</f>
        <v>0</v>
      </c>
      <c r="Z73" s="406"/>
    </row>
    <row r="74" spans="1:26" ht="12" customHeight="1" x14ac:dyDescent="0.25">
      <c r="A74" s="1179"/>
      <c r="B74" s="903" t="s">
        <v>448</v>
      </c>
      <c r="C74" s="757" t="s">
        <v>192</v>
      </c>
      <c r="D74" s="553" t="s">
        <v>438</v>
      </c>
      <c r="E74" s="912" t="s">
        <v>429</v>
      </c>
      <c r="F74" s="553" t="s">
        <v>446</v>
      </c>
      <c r="G74" s="944">
        <v>0</v>
      </c>
      <c r="H74" s="740" t="s">
        <v>414</v>
      </c>
      <c r="I74" s="914">
        <f>PersonCalcYr1!AR176</f>
        <v>0</v>
      </c>
      <c r="J74" s="267"/>
      <c r="K74" s="1179"/>
      <c r="L74" s="553" t="s">
        <v>438</v>
      </c>
      <c r="M74" s="912" t="str">
        <f>E74</f>
        <v>YES</v>
      </c>
      <c r="N74" s="553" t="s">
        <v>446</v>
      </c>
      <c r="O74" s="944">
        <f>G74</f>
        <v>0</v>
      </c>
      <c r="P74" s="740" t="s">
        <v>414</v>
      </c>
      <c r="Q74" s="914">
        <f>PersonCalcYr2!BD216</f>
        <v>0</v>
      </c>
      <c r="R74" s="742"/>
      <c r="S74" s="1179"/>
      <c r="T74" s="553" t="s">
        <v>438</v>
      </c>
      <c r="U74" s="912" t="str">
        <f>M74</f>
        <v>YES</v>
      </c>
      <c r="V74" s="553" t="s">
        <v>446</v>
      </c>
      <c r="W74" s="944">
        <f>O74</f>
        <v>0</v>
      </c>
      <c r="X74" s="740" t="s">
        <v>414</v>
      </c>
      <c r="Y74" s="914">
        <f>PersonCalcYr3!BN257</f>
        <v>0</v>
      </c>
      <c r="Z74" s="406"/>
    </row>
    <row r="75" spans="1:26" ht="12" customHeight="1" x14ac:dyDescent="0.25">
      <c r="A75" s="1179"/>
      <c r="B75" s="903" t="s">
        <v>174</v>
      </c>
      <c r="C75" s="915"/>
      <c r="D75" s="553" t="s">
        <v>426</v>
      </c>
      <c r="E75" s="916"/>
      <c r="F75" s="553" t="s">
        <v>434</v>
      </c>
      <c r="G75" s="944">
        <v>0</v>
      </c>
      <c r="H75" s="740" t="s">
        <v>443</v>
      </c>
      <c r="I75" s="914">
        <f>PersonCalcYr1!AR185</f>
        <v>0</v>
      </c>
      <c r="J75" s="267"/>
      <c r="K75" s="1179"/>
      <c r="L75" s="553" t="s">
        <v>426</v>
      </c>
      <c r="M75" s="916">
        <f>E75</f>
        <v>0</v>
      </c>
      <c r="N75" s="553" t="s">
        <v>434</v>
      </c>
      <c r="O75" s="944">
        <f>G75</f>
        <v>0</v>
      </c>
      <c r="P75" s="740" t="s">
        <v>443</v>
      </c>
      <c r="Q75" s="914">
        <f>PersonCalcYr2!BD229</f>
        <v>0</v>
      </c>
      <c r="R75" s="742"/>
      <c r="S75" s="1179"/>
      <c r="T75" s="553" t="s">
        <v>426</v>
      </c>
      <c r="U75" s="916">
        <f>M75</f>
        <v>0</v>
      </c>
      <c r="V75" s="553" t="s">
        <v>434</v>
      </c>
      <c r="W75" s="944">
        <f>O75</f>
        <v>0</v>
      </c>
      <c r="X75" s="740" t="s">
        <v>443</v>
      </c>
      <c r="Y75" s="914">
        <f>PersonCalcYr3!BN274</f>
        <v>0</v>
      </c>
      <c r="Z75" s="406"/>
    </row>
    <row r="76" spans="1:26" ht="12" customHeight="1" x14ac:dyDescent="0.25">
      <c r="A76" s="1179"/>
      <c r="B76" s="418" t="s">
        <v>562</v>
      </c>
      <c r="C76" s="918">
        <v>0</v>
      </c>
      <c r="D76" s="553" t="s">
        <v>427</v>
      </c>
      <c r="E76" s="757"/>
      <c r="F76" s="553" t="s">
        <v>126</v>
      </c>
      <c r="G76" s="757" t="s">
        <v>173</v>
      </c>
      <c r="H76" s="740" t="s">
        <v>422</v>
      </c>
      <c r="I76" s="914">
        <f>PersonCalcYr1!AR202</f>
        <v>0</v>
      </c>
      <c r="J76" s="267"/>
      <c r="K76" s="1179"/>
      <c r="L76" s="553" t="s">
        <v>594</v>
      </c>
      <c r="M76" s="757">
        <f>E76</f>
        <v>0</v>
      </c>
      <c r="N76" s="553" t="s">
        <v>126</v>
      </c>
      <c r="O76" s="757" t="str">
        <f>G76</f>
        <v>None</v>
      </c>
      <c r="P76" s="740" t="s">
        <v>422</v>
      </c>
      <c r="Q76" s="914">
        <f>PersonCalcYr2!BD252</f>
        <v>0</v>
      </c>
      <c r="R76" s="742"/>
      <c r="S76" s="1179"/>
      <c r="T76" s="553" t="s">
        <v>652</v>
      </c>
      <c r="U76" s="757">
        <f>M76</f>
        <v>0</v>
      </c>
      <c r="V76" s="553" t="s">
        <v>126</v>
      </c>
      <c r="W76" s="757" t="str">
        <f>O76</f>
        <v>None</v>
      </c>
      <c r="X76" s="740" t="s">
        <v>422</v>
      </c>
      <c r="Y76" s="914">
        <f>PersonCalcYr3!BN303</f>
        <v>0</v>
      </c>
      <c r="Z76" s="406"/>
    </row>
    <row r="77" spans="1:26" ht="12" customHeight="1" x14ac:dyDescent="0.25">
      <c r="A77" s="1179"/>
      <c r="B77" s="267"/>
      <c r="C77" s="267"/>
      <c r="D77" s="553" t="s">
        <v>554</v>
      </c>
      <c r="E77" s="945">
        <f>PersonCalcYr1!H201</f>
        <v>12</v>
      </c>
      <c r="F77" s="553"/>
      <c r="G77" s="946"/>
      <c r="H77" s="740" t="s">
        <v>230</v>
      </c>
      <c r="I77" s="914">
        <f>PersonCalcYr1!AR203</f>
        <v>0</v>
      </c>
      <c r="J77" s="267"/>
      <c r="K77" s="1179"/>
      <c r="L77" s="553" t="s">
        <v>625</v>
      </c>
      <c r="M77" s="945">
        <f>PersonCalcYr2!H251</f>
        <v>12</v>
      </c>
      <c r="N77" s="553"/>
      <c r="O77" s="946"/>
      <c r="P77" s="740" t="s">
        <v>230</v>
      </c>
      <c r="Q77" s="914">
        <f>PersonCalcYr2!BD253</f>
        <v>0</v>
      </c>
      <c r="R77" s="742"/>
      <c r="S77" s="1179"/>
      <c r="T77" s="553" t="s">
        <v>625</v>
      </c>
      <c r="U77" s="945">
        <f>PersonCalcYr3!H302</f>
        <v>12</v>
      </c>
      <c r="V77" s="553"/>
      <c r="W77" s="946"/>
      <c r="X77" s="740" t="s">
        <v>230</v>
      </c>
      <c r="Y77" s="914">
        <f>PersonCalcYr3!BN304</f>
        <v>0</v>
      </c>
      <c r="Z77" s="406"/>
    </row>
    <row r="78" spans="1:26" ht="12" customHeight="1" thickBot="1" x14ac:dyDescent="0.3">
      <c r="A78" s="1179"/>
      <c r="B78" s="553"/>
      <c r="C78" s="947"/>
      <c r="D78" s="941"/>
      <c r="E78" s="267"/>
      <c r="F78" s="553" t="s">
        <v>645</v>
      </c>
      <c r="G78" s="948" t="s">
        <v>669</v>
      </c>
      <c r="H78" s="740" t="s">
        <v>127</v>
      </c>
      <c r="I78" s="914">
        <f>PersonCalcYr1!AR204</f>
        <v>0</v>
      </c>
      <c r="J78" s="267"/>
      <c r="K78" s="1179"/>
      <c r="L78" s="941"/>
      <c r="M78" s="267"/>
      <c r="N78" s="553" t="s">
        <v>646</v>
      </c>
      <c r="O78" s="948" t="str">
        <f>G78</f>
        <v>No</v>
      </c>
      <c r="P78" s="740" t="s">
        <v>127</v>
      </c>
      <c r="Q78" s="914">
        <f>PersonCalcYr2!BD254</f>
        <v>0</v>
      </c>
      <c r="R78" s="742"/>
      <c r="S78" s="1179"/>
      <c r="T78" s="941"/>
      <c r="U78" s="267"/>
      <c r="V78" s="553" t="s">
        <v>646</v>
      </c>
      <c r="W78" s="948" t="str">
        <f>O78</f>
        <v>No</v>
      </c>
      <c r="X78" s="740" t="s">
        <v>127</v>
      </c>
      <c r="Y78" s="914">
        <f>PersonCalcYr3!BN305</f>
        <v>0</v>
      </c>
      <c r="Z78" s="406"/>
    </row>
    <row r="79" spans="1:26" ht="12" customHeight="1" thickBot="1" x14ac:dyDescent="0.3">
      <c r="A79" s="1180"/>
      <c r="B79" s="555"/>
      <c r="C79" s="920"/>
      <c r="D79" s="921"/>
      <c r="E79" s="920"/>
      <c r="F79" s="555"/>
      <c r="G79" s="555"/>
      <c r="H79" s="949" t="s">
        <v>567</v>
      </c>
      <c r="I79" s="924">
        <f>PersonCalcYr1!AS204</f>
        <v>0</v>
      </c>
      <c r="J79" s="267"/>
      <c r="K79" s="1180"/>
      <c r="L79" s="921"/>
      <c r="M79" s="920"/>
      <c r="N79" s="555"/>
      <c r="O79" s="555"/>
      <c r="P79" s="949" t="s">
        <v>567</v>
      </c>
      <c r="Q79" s="924">
        <f>PersonCalcYr2!BE254</f>
        <v>0</v>
      </c>
      <c r="R79" s="742"/>
      <c r="S79" s="1180"/>
      <c r="T79" s="921"/>
      <c r="U79" s="920"/>
      <c r="V79" s="555"/>
      <c r="W79" s="555"/>
      <c r="X79" s="949" t="s">
        <v>567</v>
      </c>
      <c r="Y79" s="924">
        <f>PersonCalcYr3!BO305</f>
        <v>0</v>
      </c>
      <c r="Z79" s="406"/>
    </row>
    <row r="80" spans="1:26" ht="11.25" customHeight="1" thickBot="1" x14ac:dyDescent="0.3">
      <c r="A80" s="267"/>
      <c r="B80" s="267"/>
      <c r="C80" s="267"/>
      <c r="D80" s="941"/>
      <c r="E80" s="267"/>
      <c r="F80" s="267"/>
      <c r="G80" s="267"/>
      <c r="H80" s="267"/>
      <c r="I80" s="267"/>
      <c r="J80" s="267"/>
      <c r="K80" s="267"/>
      <c r="L80" s="941"/>
      <c r="M80" s="267"/>
      <c r="N80" s="267"/>
      <c r="O80" s="267"/>
      <c r="P80" s="267"/>
      <c r="Q80" s="267"/>
      <c r="R80" s="742"/>
      <c r="S80" s="267"/>
      <c r="T80" s="941"/>
      <c r="U80" s="267"/>
      <c r="V80" s="267"/>
      <c r="W80" s="267"/>
      <c r="X80" s="267"/>
      <c r="Y80" s="267"/>
      <c r="Z80" s="406"/>
    </row>
    <row r="81" spans="1:26" ht="12" customHeight="1" x14ac:dyDescent="0.25">
      <c r="A81" s="1178">
        <v>3</v>
      </c>
      <c r="B81" s="942"/>
      <c r="C81" s="557"/>
      <c r="D81" s="950"/>
      <c r="E81" s="557"/>
      <c r="F81" s="557"/>
      <c r="G81" s="557"/>
      <c r="H81" s="910" t="s">
        <v>447</v>
      </c>
      <c r="I81" s="943">
        <f>PersonCalcYr1!AR226</f>
        <v>0</v>
      </c>
      <c r="J81" s="267"/>
      <c r="K81" s="1178">
        <v>3</v>
      </c>
      <c r="L81" s="950"/>
      <c r="M81" s="557"/>
      <c r="N81" s="557"/>
      <c r="O81" s="557"/>
      <c r="P81" s="910" t="s">
        <v>447</v>
      </c>
      <c r="Q81" s="943">
        <f>PersonCalcYr2!BD284</f>
        <v>0</v>
      </c>
      <c r="R81" s="742"/>
      <c r="S81" s="1178">
        <v>3</v>
      </c>
      <c r="T81" s="950"/>
      <c r="U81" s="557"/>
      <c r="V81" s="557"/>
      <c r="W81" s="557"/>
      <c r="X81" s="910" t="s">
        <v>447</v>
      </c>
      <c r="Y81" s="943">
        <f>PersonCalcYr3!BN343</f>
        <v>0</v>
      </c>
      <c r="Z81" s="406"/>
    </row>
    <row r="82" spans="1:26" ht="12" customHeight="1" x14ac:dyDescent="0.25">
      <c r="A82" s="1179"/>
      <c r="B82" s="903" t="s">
        <v>448</v>
      </c>
      <c r="C82" s="757" t="s">
        <v>192</v>
      </c>
      <c r="D82" s="553" t="s">
        <v>438</v>
      </c>
      <c r="E82" s="912" t="s">
        <v>429</v>
      </c>
      <c r="F82" s="553" t="s">
        <v>446</v>
      </c>
      <c r="G82" s="944">
        <v>0</v>
      </c>
      <c r="H82" s="740" t="s">
        <v>414</v>
      </c>
      <c r="I82" s="914">
        <f>PersonCalcYr1!AR208</f>
        <v>0</v>
      </c>
      <c r="J82" s="267"/>
      <c r="K82" s="1179"/>
      <c r="L82" s="553" t="s">
        <v>438</v>
      </c>
      <c r="M82" s="912" t="str">
        <f>E82</f>
        <v>YES</v>
      </c>
      <c r="N82" s="553" t="s">
        <v>446</v>
      </c>
      <c r="O82" s="944">
        <f>G82</f>
        <v>0</v>
      </c>
      <c r="P82" s="740" t="s">
        <v>414</v>
      </c>
      <c r="Q82" s="914">
        <f>PersonCalcYr2!BD258</f>
        <v>0</v>
      </c>
      <c r="R82" s="742"/>
      <c r="S82" s="1179"/>
      <c r="T82" s="553" t="s">
        <v>438</v>
      </c>
      <c r="U82" s="912" t="str">
        <f>M82</f>
        <v>YES</v>
      </c>
      <c r="V82" s="553" t="s">
        <v>446</v>
      </c>
      <c r="W82" s="944">
        <f>O82</f>
        <v>0</v>
      </c>
      <c r="X82" s="740" t="s">
        <v>414</v>
      </c>
      <c r="Y82" s="914">
        <f>PersonCalcYr3!BN309</f>
        <v>0</v>
      </c>
      <c r="Z82" s="406"/>
    </row>
    <row r="83" spans="1:26" ht="12" customHeight="1" x14ac:dyDescent="0.25">
      <c r="A83" s="1179"/>
      <c r="B83" s="903" t="s">
        <v>174</v>
      </c>
      <c r="C83" s="915"/>
      <c r="D83" s="553" t="s">
        <v>426</v>
      </c>
      <c r="E83" s="916"/>
      <c r="F83" s="553" t="s">
        <v>434</v>
      </c>
      <c r="G83" s="944">
        <v>0</v>
      </c>
      <c r="H83" s="740" t="s">
        <v>443</v>
      </c>
      <c r="I83" s="914">
        <f>PersonCalcYr1!AR217</f>
        <v>0</v>
      </c>
      <c r="J83" s="267"/>
      <c r="K83" s="1179"/>
      <c r="L83" s="553" t="s">
        <v>426</v>
      </c>
      <c r="M83" s="916">
        <f>E83</f>
        <v>0</v>
      </c>
      <c r="N83" s="553" t="s">
        <v>434</v>
      </c>
      <c r="O83" s="944">
        <f>G83</f>
        <v>0</v>
      </c>
      <c r="P83" s="740" t="s">
        <v>443</v>
      </c>
      <c r="Q83" s="914">
        <f>PersonCalcYr2!BD271</f>
        <v>0</v>
      </c>
      <c r="R83" s="742"/>
      <c r="S83" s="1179"/>
      <c r="T83" s="553" t="s">
        <v>426</v>
      </c>
      <c r="U83" s="916">
        <f>M83</f>
        <v>0</v>
      </c>
      <c r="V83" s="553" t="s">
        <v>434</v>
      </c>
      <c r="W83" s="944">
        <f>O83</f>
        <v>0</v>
      </c>
      <c r="X83" s="740" t="s">
        <v>443</v>
      </c>
      <c r="Y83" s="914">
        <f>PersonCalcYr3!BN326</f>
        <v>0</v>
      </c>
      <c r="Z83" s="406"/>
    </row>
    <row r="84" spans="1:26" ht="12" customHeight="1" x14ac:dyDescent="0.25">
      <c r="A84" s="1179"/>
      <c r="B84" s="418" t="s">
        <v>562</v>
      </c>
      <c r="C84" s="918">
        <v>0</v>
      </c>
      <c r="D84" s="553" t="s">
        <v>427</v>
      </c>
      <c r="E84" s="757"/>
      <c r="F84" s="553" t="s">
        <v>126</v>
      </c>
      <c r="G84" s="757" t="s">
        <v>173</v>
      </c>
      <c r="H84" s="740" t="s">
        <v>422</v>
      </c>
      <c r="I84" s="914">
        <f>PersonCalcYr1!AR234</f>
        <v>0</v>
      </c>
      <c r="J84" s="267"/>
      <c r="K84" s="1179"/>
      <c r="L84" s="553" t="s">
        <v>594</v>
      </c>
      <c r="M84" s="757">
        <f>E84</f>
        <v>0</v>
      </c>
      <c r="N84" s="553" t="s">
        <v>126</v>
      </c>
      <c r="O84" s="757" t="str">
        <f>G84</f>
        <v>None</v>
      </c>
      <c r="P84" s="740" t="s">
        <v>422</v>
      </c>
      <c r="Q84" s="914">
        <f>PersonCalcYr2!BD294</f>
        <v>0</v>
      </c>
      <c r="R84" s="742"/>
      <c r="S84" s="1179"/>
      <c r="T84" s="553" t="s">
        <v>652</v>
      </c>
      <c r="U84" s="757">
        <f>M84</f>
        <v>0</v>
      </c>
      <c r="V84" s="553" t="s">
        <v>126</v>
      </c>
      <c r="W84" s="757" t="str">
        <f>O84</f>
        <v>None</v>
      </c>
      <c r="X84" s="740" t="s">
        <v>422</v>
      </c>
      <c r="Y84" s="914">
        <f>PersonCalcYr3!BN355</f>
        <v>0</v>
      </c>
      <c r="Z84" s="406"/>
    </row>
    <row r="85" spans="1:26" ht="12" customHeight="1" x14ac:dyDescent="0.25">
      <c r="A85" s="1179"/>
      <c r="B85" s="267"/>
      <c r="C85" s="267"/>
      <c r="D85" s="553" t="s">
        <v>554</v>
      </c>
      <c r="E85" s="945">
        <f>PersonCalcYr1!H233</f>
        <v>12</v>
      </c>
      <c r="F85" s="553"/>
      <c r="G85" s="946"/>
      <c r="H85" s="740" t="s">
        <v>230</v>
      </c>
      <c r="I85" s="914">
        <f>PersonCalcYr1!AR235</f>
        <v>0</v>
      </c>
      <c r="J85" s="267"/>
      <c r="K85" s="1179"/>
      <c r="L85" s="553" t="s">
        <v>625</v>
      </c>
      <c r="M85" s="945">
        <f>PersonCalcYr2!H293</f>
        <v>12</v>
      </c>
      <c r="N85" s="553"/>
      <c r="O85" s="946"/>
      <c r="P85" s="740" t="s">
        <v>230</v>
      </c>
      <c r="Q85" s="914">
        <f>PersonCalcYr2!BD295</f>
        <v>0</v>
      </c>
      <c r="R85" s="742"/>
      <c r="S85" s="1179"/>
      <c r="T85" s="553" t="s">
        <v>625</v>
      </c>
      <c r="U85" s="945">
        <f>PersonCalcYr3!H354</f>
        <v>12</v>
      </c>
      <c r="V85" s="553"/>
      <c r="W85" s="946"/>
      <c r="X85" s="740" t="s">
        <v>230</v>
      </c>
      <c r="Y85" s="914">
        <f>PersonCalcYr3!BN356</f>
        <v>0</v>
      </c>
      <c r="Z85" s="406"/>
    </row>
    <row r="86" spans="1:26" ht="12" customHeight="1" thickBot="1" x14ac:dyDescent="0.3">
      <c r="A86" s="1179"/>
      <c r="B86" s="553"/>
      <c r="C86" s="947"/>
      <c r="D86" s="941"/>
      <c r="E86" s="267"/>
      <c r="F86" s="553" t="s">
        <v>645</v>
      </c>
      <c r="G86" s="948" t="s">
        <v>669</v>
      </c>
      <c r="H86" s="740" t="s">
        <v>127</v>
      </c>
      <c r="I86" s="914">
        <f>PersonCalcYr1!AR236</f>
        <v>0</v>
      </c>
      <c r="J86" s="267"/>
      <c r="K86" s="1179"/>
      <c r="L86" s="941"/>
      <c r="M86" s="267"/>
      <c r="N86" s="553" t="s">
        <v>646</v>
      </c>
      <c r="O86" s="948" t="str">
        <f>G86</f>
        <v>No</v>
      </c>
      <c r="P86" s="740" t="s">
        <v>127</v>
      </c>
      <c r="Q86" s="914">
        <f>PersonCalcYr2!BD296</f>
        <v>0</v>
      </c>
      <c r="R86" s="742"/>
      <c r="S86" s="1179"/>
      <c r="T86" s="941"/>
      <c r="U86" s="267"/>
      <c r="V86" s="553" t="s">
        <v>646</v>
      </c>
      <c r="W86" s="948" t="str">
        <f>O86</f>
        <v>No</v>
      </c>
      <c r="X86" s="740" t="s">
        <v>127</v>
      </c>
      <c r="Y86" s="914">
        <f>PersonCalcYr3!BN357</f>
        <v>0</v>
      </c>
      <c r="Z86" s="406"/>
    </row>
    <row r="87" spans="1:26" ht="12" customHeight="1" thickBot="1" x14ac:dyDescent="0.3">
      <c r="A87" s="1180"/>
      <c r="B87" s="555"/>
      <c r="C87" s="920"/>
      <c r="D87" s="921"/>
      <c r="E87" s="920"/>
      <c r="F87" s="555"/>
      <c r="G87" s="555"/>
      <c r="H87" s="949" t="s">
        <v>567</v>
      </c>
      <c r="I87" s="924">
        <f>PersonCalcYr1!AS236</f>
        <v>0</v>
      </c>
      <c r="J87" s="267"/>
      <c r="K87" s="1180"/>
      <c r="L87" s="921"/>
      <c r="M87" s="920"/>
      <c r="N87" s="555"/>
      <c r="O87" s="555"/>
      <c r="P87" s="949" t="s">
        <v>567</v>
      </c>
      <c r="Q87" s="924">
        <f>PersonCalcYr2!BE296</f>
        <v>0</v>
      </c>
      <c r="R87" s="742"/>
      <c r="S87" s="1180"/>
      <c r="T87" s="921"/>
      <c r="U87" s="920"/>
      <c r="V87" s="555"/>
      <c r="W87" s="555"/>
      <c r="X87" s="949" t="s">
        <v>567</v>
      </c>
      <c r="Y87" s="924">
        <f>PersonCalcYr3!BO357</f>
        <v>0</v>
      </c>
      <c r="Z87" s="406"/>
    </row>
    <row r="88" spans="1:26" ht="11.25" customHeight="1" thickBot="1" x14ac:dyDescent="0.3">
      <c r="A88" s="267"/>
      <c r="B88" s="267"/>
      <c r="C88" s="267"/>
      <c r="D88" s="941"/>
      <c r="E88" s="267"/>
      <c r="F88" s="267"/>
      <c r="G88" s="267"/>
      <c r="H88" s="267"/>
      <c r="I88" s="267"/>
      <c r="J88" s="267"/>
      <c r="K88" s="267"/>
      <c r="L88" s="941"/>
      <c r="M88" s="267"/>
      <c r="N88" s="267"/>
      <c r="O88" s="267"/>
      <c r="P88" s="267"/>
      <c r="Q88" s="267"/>
      <c r="R88" s="742"/>
      <c r="S88" s="267"/>
      <c r="T88" s="941"/>
      <c r="U88" s="267"/>
      <c r="V88" s="267"/>
      <c r="W88" s="267"/>
      <c r="X88" s="267"/>
      <c r="Y88" s="267"/>
      <c r="Z88" s="406"/>
    </row>
    <row r="89" spans="1:26" ht="12" customHeight="1" x14ac:dyDescent="0.25">
      <c r="A89" s="1181">
        <v>4</v>
      </c>
      <c r="B89" s="942"/>
      <c r="C89" s="557"/>
      <c r="D89" s="950"/>
      <c r="E89" s="557"/>
      <c r="F89" s="557"/>
      <c r="G89" s="557"/>
      <c r="H89" s="910" t="s">
        <v>447</v>
      </c>
      <c r="I89" s="943">
        <f>PersonCalcYr1!AR258</f>
        <v>0</v>
      </c>
      <c r="J89" s="267"/>
      <c r="K89" s="1181">
        <v>4</v>
      </c>
      <c r="L89" s="950"/>
      <c r="M89" s="557"/>
      <c r="N89" s="557"/>
      <c r="O89" s="557"/>
      <c r="P89" s="910" t="s">
        <v>447</v>
      </c>
      <c r="Q89" s="943">
        <f>PersonCalcYr2!BD326</f>
        <v>0</v>
      </c>
      <c r="R89" s="742"/>
      <c r="S89" s="1181">
        <v>4</v>
      </c>
      <c r="T89" s="950"/>
      <c r="U89" s="557"/>
      <c r="V89" s="557"/>
      <c r="W89" s="557"/>
      <c r="X89" s="910" t="s">
        <v>447</v>
      </c>
      <c r="Y89" s="943">
        <f>PersonCalcYr3!BN395</f>
        <v>0</v>
      </c>
      <c r="Z89" s="406"/>
    </row>
    <row r="90" spans="1:26" ht="12" customHeight="1" x14ac:dyDescent="0.25">
      <c r="A90" s="1182"/>
      <c r="B90" s="903" t="s">
        <v>448</v>
      </c>
      <c r="C90" s="757" t="s">
        <v>192</v>
      </c>
      <c r="D90" s="553" t="s">
        <v>438</v>
      </c>
      <c r="E90" s="912" t="s">
        <v>429</v>
      </c>
      <c r="F90" s="553" t="s">
        <v>446</v>
      </c>
      <c r="G90" s="944">
        <v>0</v>
      </c>
      <c r="H90" s="740" t="s">
        <v>414</v>
      </c>
      <c r="I90" s="914">
        <f>PersonCalcYr1!AR240</f>
        <v>0</v>
      </c>
      <c r="J90" s="267"/>
      <c r="K90" s="1182"/>
      <c r="L90" s="553" t="s">
        <v>438</v>
      </c>
      <c r="M90" s="912" t="str">
        <f>E90</f>
        <v>YES</v>
      </c>
      <c r="N90" s="553" t="s">
        <v>446</v>
      </c>
      <c r="O90" s="944">
        <f>G90</f>
        <v>0</v>
      </c>
      <c r="P90" s="740" t="s">
        <v>414</v>
      </c>
      <c r="Q90" s="914">
        <f>PersonCalcYr2!BD300</f>
        <v>0</v>
      </c>
      <c r="R90" s="742"/>
      <c r="S90" s="1182"/>
      <c r="T90" s="553" t="s">
        <v>438</v>
      </c>
      <c r="U90" s="912" t="str">
        <f>M90</f>
        <v>YES</v>
      </c>
      <c r="V90" s="553" t="s">
        <v>446</v>
      </c>
      <c r="W90" s="944">
        <f>O90</f>
        <v>0</v>
      </c>
      <c r="X90" s="740" t="s">
        <v>414</v>
      </c>
      <c r="Y90" s="914">
        <f>PersonCalcYr3!BN361</f>
        <v>0</v>
      </c>
      <c r="Z90" s="406"/>
    </row>
    <row r="91" spans="1:26" ht="12" customHeight="1" x14ac:dyDescent="0.25">
      <c r="A91" s="1182"/>
      <c r="B91" s="903" t="s">
        <v>174</v>
      </c>
      <c r="C91" s="915"/>
      <c r="D91" s="553" t="s">
        <v>426</v>
      </c>
      <c r="E91" s="916"/>
      <c r="F91" s="553" t="s">
        <v>434</v>
      </c>
      <c r="G91" s="944">
        <v>0</v>
      </c>
      <c r="H91" s="740" t="s">
        <v>443</v>
      </c>
      <c r="I91" s="914">
        <f>PersonCalcYr1!AR249</f>
        <v>0</v>
      </c>
      <c r="J91" s="267"/>
      <c r="K91" s="1182"/>
      <c r="L91" s="553" t="s">
        <v>426</v>
      </c>
      <c r="M91" s="916">
        <f>E91</f>
        <v>0</v>
      </c>
      <c r="N91" s="553" t="s">
        <v>434</v>
      </c>
      <c r="O91" s="944">
        <f>G91</f>
        <v>0</v>
      </c>
      <c r="P91" s="740" t="s">
        <v>443</v>
      </c>
      <c r="Q91" s="914">
        <f>PersonCalcYr2!BD313</f>
        <v>0</v>
      </c>
      <c r="R91" s="742"/>
      <c r="S91" s="1182"/>
      <c r="T91" s="553" t="s">
        <v>426</v>
      </c>
      <c r="U91" s="916">
        <f>M91</f>
        <v>0</v>
      </c>
      <c r="V91" s="553" t="s">
        <v>434</v>
      </c>
      <c r="W91" s="944">
        <f>O91</f>
        <v>0</v>
      </c>
      <c r="X91" s="740" t="s">
        <v>443</v>
      </c>
      <c r="Y91" s="914">
        <f>PersonCalcYr3!BN378</f>
        <v>0</v>
      </c>
      <c r="Z91" s="406"/>
    </row>
    <row r="92" spans="1:26" ht="12" customHeight="1" x14ac:dyDescent="0.25">
      <c r="A92" s="1182"/>
      <c r="B92" s="418" t="s">
        <v>562</v>
      </c>
      <c r="C92" s="918">
        <v>0</v>
      </c>
      <c r="D92" s="553" t="s">
        <v>427</v>
      </c>
      <c r="E92" s="757"/>
      <c r="F92" s="553" t="s">
        <v>126</v>
      </c>
      <c r="G92" s="757" t="s">
        <v>173</v>
      </c>
      <c r="H92" s="740" t="s">
        <v>422</v>
      </c>
      <c r="I92" s="914">
        <f>PersonCalcYr1!AR266</f>
        <v>0</v>
      </c>
      <c r="J92" s="267"/>
      <c r="K92" s="1182"/>
      <c r="L92" s="553" t="s">
        <v>594</v>
      </c>
      <c r="M92" s="757">
        <f>E92</f>
        <v>0</v>
      </c>
      <c r="N92" s="553" t="s">
        <v>126</v>
      </c>
      <c r="O92" s="757" t="str">
        <f>G92</f>
        <v>None</v>
      </c>
      <c r="P92" s="740" t="s">
        <v>422</v>
      </c>
      <c r="Q92" s="914">
        <f>PersonCalcYr2!BD336</f>
        <v>0</v>
      </c>
      <c r="R92" s="742"/>
      <c r="S92" s="1182"/>
      <c r="T92" s="553" t="s">
        <v>652</v>
      </c>
      <c r="U92" s="757">
        <f>M92</f>
        <v>0</v>
      </c>
      <c r="V92" s="553" t="s">
        <v>126</v>
      </c>
      <c r="W92" s="757" t="str">
        <f>O92</f>
        <v>None</v>
      </c>
      <c r="X92" s="740" t="s">
        <v>422</v>
      </c>
      <c r="Y92" s="914">
        <f>PersonCalcYr3!BN407</f>
        <v>0</v>
      </c>
      <c r="Z92" s="406"/>
    </row>
    <row r="93" spans="1:26" ht="12" customHeight="1" x14ac:dyDescent="0.25">
      <c r="A93" s="1182"/>
      <c r="B93" s="267"/>
      <c r="C93" s="267"/>
      <c r="D93" s="553" t="s">
        <v>554</v>
      </c>
      <c r="E93" s="945">
        <f>PersonCalcYr1!H265</f>
        <v>12</v>
      </c>
      <c r="F93" s="553"/>
      <c r="G93" s="946"/>
      <c r="H93" s="740" t="s">
        <v>230</v>
      </c>
      <c r="I93" s="914">
        <f>PersonCalcYr1!AR267</f>
        <v>0</v>
      </c>
      <c r="J93" s="267"/>
      <c r="K93" s="1182"/>
      <c r="L93" s="553" t="s">
        <v>625</v>
      </c>
      <c r="M93" s="945">
        <f>PersonCalcYr2!H335</f>
        <v>12</v>
      </c>
      <c r="N93" s="553"/>
      <c r="O93" s="946"/>
      <c r="P93" s="740" t="s">
        <v>230</v>
      </c>
      <c r="Q93" s="914">
        <f>PersonCalcYr2!BD337</f>
        <v>0</v>
      </c>
      <c r="R93" s="742"/>
      <c r="S93" s="1182"/>
      <c r="T93" s="553" t="s">
        <v>625</v>
      </c>
      <c r="U93" s="945">
        <f>PersonCalcYr3!H406</f>
        <v>12</v>
      </c>
      <c r="V93" s="553"/>
      <c r="W93" s="946"/>
      <c r="X93" s="740" t="s">
        <v>230</v>
      </c>
      <c r="Y93" s="914">
        <f>PersonCalcYr3!BN408</f>
        <v>0</v>
      </c>
      <c r="Z93" s="406"/>
    </row>
    <row r="94" spans="1:26" ht="12" customHeight="1" thickBot="1" x14ac:dyDescent="0.3">
      <c r="A94" s="1182"/>
      <c r="B94" s="553"/>
      <c r="C94" s="947"/>
      <c r="D94" s="941"/>
      <c r="E94" s="267"/>
      <c r="F94" s="553" t="s">
        <v>645</v>
      </c>
      <c r="G94" s="948" t="s">
        <v>669</v>
      </c>
      <c r="H94" s="740" t="s">
        <v>127</v>
      </c>
      <c r="I94" s="914">
        <f>PersonCalcYr1!AR268</f>
        <v>0</v>
      </c>
      <c r="J94" s="267"/>
      <c r="K94" s="1182"/>
      <c r="L94" s="941"/>
      <c r="M94" s="267"/>
      <c r="N94" s="553" t="s">
        <v>646</v>
      </c>
      <c r="O94" s="948" t="str">
        <f>G94</f>
        <v>No</v>
      </c>
      <c r="P94" s="740" t="s">
        <v>127</v>
      </c>
      <c r="Q94" s="914">
        <f>PersonCalcYr2!BD338</f>
        <v>0</v>
      </c>
      <c r="R94" s="742"/>
      <c r="S94" s="1182"/>
      <c r="T94" s="941"/>
      <c r="U94" s="267"/>
      <c r="V94" s="553" t="s">
        <v>646</v>
      </c>
      <c r="W94" s="948" t="str">
        <f>O94</f>
        <v>No</v>
      </c>
      <c r="X94" s="740" t="s">
        <v>127</v>
      </c>
      <c r="Y94" s="914">
        <f>PersonCalcYr3!BN409</f>
        <v>0</v>
      </c>
      <c r="Z94" s="406"/>
    </row>
    <row r="95" spans="1:26" ht="12" customHeight="1" thickBot="1" x14ac:dyDescent="0.3">
      <c r="A95" s="1183"/>
      <c r="B95" s="555"/>
      <c r="C95" s="920"/>
      <c r="D95" s="921"/>
      <c r="E95" s="920"/>
      <c r="F95" s="555"/>
      <c r="G95" s="555"/>
      <c r="H95" s="949" t="s">
        <v>567</v>
      </c>
      <c r="I95" s="924">
        <f>PersonCalcYr1!AS268</f>
        <v>0</v>
      </c>
      <c r="J95" s="267"/>
      <c r="K95" s="1183"/>
      <c r="L95" s="921"/>
      <c r="M95" s="920"/>
      <c r="N95" s="555"/>
      <c r="O95" s="555"/>
      <c r="P95" s="949" t="s">
        <v>567</v>
      </c>
      <c r="Q95" s="924">
        <f>PersonCalcYr2!BE338</f>
        <v>0</v>
      </c>
      <c r="R95" s="742"/>
      <c r="S95" s="1183"/>
      <c r="T95" s="921"/>
      <c r="U95" s="920"/>
      <c r="V95" s="555"/>
      <c r="W95" s="555"/>
      <c r="X95" s="949" t="s">
        <v>567</v>
      </c>
      <c r="Y95" s="924">
        <f>PersonCalcYr3!BO409</f>
        <v>0</v>
      </c>
      <c r="Z95" s="406"/>
    </row>
    <row r="96" spans="1:26" ht="11.25" customHeight="1" thickBot="1" x14ac:dyDescent="0.3">
      <c r="A96" s="267"/>
      <c r="B96" s="267"/>
      <c r="C96" s="267"/>
      <c r="D96" s="941"/>
      <c r="E96" s="267"/>
      <c r="F96" s="267"/>
      <c r="G96" s="267"/>
      <c r="H96" s="267"/>
      <c r="I96" s="267"/>
      <c r="J96" s="267"/>
      <c r="K96" s="267"/>
      <c r="L96" s="941"/>
      <c r="M96" s="267"/>
      <c r="N96" s="267"/>
      <c r="O96" s="267"/>
      <c r="P96" s="267"/>
      <c r="Q96" s="267"/>
      <c r="R96" s="742"/>
      <c r="S96" s="267"/>
      <c r="T96" s="941"/>
      <c r="U96" s="267"/>
      <c r="V96" s="267"/>
      <c r="W96" s="267"/>
      <c r="X96" s="267"/>
      <c r="Y96" s="267"/>
      <c r="Z96" s="406"/>
    </row>
    <row r="97" spans="1:26" ht="12" customHeight="1" x14ac:dyDescent="0.25">
      <c r="A97" s="1178">
        <v>5</v>
      </c>
      <c r="B97" s="942"/>
      <c r="C97" s="557"/>
      <c r="D97" s="950"/>
      <c r="E97" s="557"/>
      <c r="F97" s="557"/>
      <c r="G97" s="557"/>
      <c r="H97" s="910" t="s">
        <v>447</v>
      </c>
      <c r="I97" s="943">
        <f>PersonCalcYr1!AR290</f>
        <v>0</v>
      </c>
      <c r="J97" s="267"/>
      <c r="K97" s="1178">
        <v>5</v>
      </c>
      <c r="L97" s="950"/>
      <c r="M97" s="557"/>
      <c r="N97" s="557"/>
      <c r="O97" s="557"/>
      <c r="P97" s="910" t="s">
        <v>447</v>
      </c>
      <c r="Q97" s="943">
        <f>PersonCalcYr2!BD368</f>
        <v>0</v>
      </c>
      <c r="R97" s="742"/>
      <c r="S97" s="1178">
        <v>5</v>
      </c>
      <c r="T97" s="950"/>
      <c r="U97" s="557"/>
      <c r="V97" s="557"/>
      <c r="W97" s="557"/>
      <c r="X97" s="910" t="s">
        <v>447</v>
      </c>
      <c r="Y97" s="943">
        <f>PersonCalcYr3!BN447</f>
        <v>0</v>
      </c>
      <c r="Z97" s="406"/>
    </row>
    <row r="98" spans="1:26" ht="12" customHeight="1" x14ac:dyDescent="0.25">
      <c r="A98" s="1179"/>
      <c r="B98" s="903" t="s">
        <v>448</v>
      </c>
      <c r="C98" s="757" t="s">
        <v>192</v>
      </c>
      <c r="D98" s="553" t="s">
        <v>438</v>
      </c>
      <c r="E98" s="912" t="s">
        <v>429</v>
      </c>
      <c r="F98" s="553" t="s">
        <v>446</v>
      </c>
      <c r="G98" s="944">
        <v>0</v>
      </c>
      <c r="H98" s="740" t="s">
        <v>414</v>
      </c>
      <c r="I98" s="914">
        <f>PersonCalcYr1!AR272</f>
        <v>0</v>
      </c>
      <c r="J98" s="267"/>
      <c r="K98" s="1179"/>
      <c r="L98" s="553" t="s">
        <v>438</v>
      </c>
      <c r="M98" s="912" t="str">
        <f>E98</f>
        <v>YES</v>
      </c>
      <c r="N98" s="553" t="s">
        <v>446</v>
      </c>
      <c r="O98" s="944">
        <f>G98</f>
        <v>0</v>
      </c>
      <c r="P98" s="740" t="s">
        <v>414</v>
      </c>
      <c r="Q98" s="914">
        <f>PersonCalcYr2!BD342</f>
        <v>0</v>
      </c>
      <c r="R98" s="742"/>
      <c r="S98" s="1179"/>
      <c r="T98" s="553" t="s">
        <v>438</v>
      </c>
      <c r="U98" s="912" t="str">
        <f>M98</f>
        <v>YES</v>
      </c>
      <c r="V98" s="553" t="s">
        <v>446</v>
      </c>
      <c r="W98" s="944">
        <f>O98</f>
        <v>0</v>
      </c>
      <c r="X98" s="740" t="s">
        <v>414</v>
      </c>
      <c r="Y98" s="914">
        <f>PersonCalcYr3!BN413</f>
        <v>0</v>
      </c>
      <c r="Z98" s="406"/>
    </row>
    <row r="99" spans="1:26" ht="12" customHeight="1" x14ac:dyDescent="0.25">
      <c r="A99" s="1179"/>
      <c r="B99" s="903" t="s">
        <v>174</v>
      </c>
      <c r="C99" s="915"/>
      <c r="D99" s="553" t="s">
        <v>426</v>
      </c>
      <c r="E99" s="916"/>
      <c r="F99" s="553" t="s">
        <v>434</v>
      </c>
      <c r="G99" s="944">
        <v>0</v>
      </c>
      <c r="H99" s="740" t="s">
        <v>443</v>
      </c>
      <c r="I99" s="914">
        <f>PersonCalcYr1!AR281</f>
        <v>0</v>
      </c>
      <c r="J99" s="267"/>
      <c r="K99" s="1179"/>
      <c r="L99" s="553" t="s">
        <v>426</v>
      </c>
      <c r="M99" s="916">
        <f>E99</f>
        <v>0</v>
      </c>
      <c r="N99" s="553" t="s">
        <v>434</v>
      </c>
      <c r="O99" s="944">
        <f>G99</f>
        <v>0</v>
      </c>
      <c r="P99" s="740" t="s">
        <v>443</v>
      </c>
      <c r="Q99" s="914">
        <f>PersonCalcYr2!BD355</f>
        <v>0</v>
      </c>
      <c r="R99" s="742"/>
      <c r="S99" s="1179"/>
      <c r="T99" s="553" t="s">
        <v>426</v>
      </c>
      <c r="U99" s="916">
        <f>M99</f>
        <v>0</v>
      </c>
      <c r="V99" s="553" t="s">
        <v>434</v>
      </c>
      <c r="W99" s="944">
        <f>O99</f>
        <v>0</v>
      </c>
      <c r="X99" s="740" t="s">
        <v>443</v>
      </c>
      <c r="Y99" s="914">
        <f>PersonCalcYr3!BN430</f>
        <v>0</v>
      </c>
      <c r="Z99" s="406"/>
    </row>
    <row r="100" spans="1:26" ht="12" customHeight="1" x14ac:dyDescent="0.25">
      <c r="A100" s="1179"/>
      <c r="B100" s="418" t="s">
        <v>562</v>
      </c>
      <c r="C100" s="918">
        <v>0</v>
      </c>
      <c r="D100" s="553" t="s">
        <v>427</v>
      </c>
      <c r="E100" s="757"/>
      <c r="F100" s="553" t="s">
        <v>126</v>
      </c>
      <c r="G100" s="757" t="s">
        <v>173</v>
      </c>
      <c r="H100" s="740" t="s">
        <v>422</v>
      </c>
      <c r="I100" s="914">
        <f>PersonCalcYr1!AR298</f>
        <v>0</v>
      </c>
      <c r="J100" s="267"/>
      <c r="K100" s="1179"/>
      <c r="L100" s="553" t="s">
        <v>594</v>
      </c>
      <c r="M100" s="757">
        <f>E100</f>
        <v>0</v>
      </c>
      <c r="N100" s="553" t="s">
        <v>126</v>
      </c>
      <c r="O100" s="757" t="str">
        <f>G100</f>
        <v>None</v>
      </c>
      <c r="P100" s="740" t="s">
        <v>422</v>
      </c>
      <c r="Q100" s="914">
        <f>PersonCalcYr2!BD380</f>
        <v>0</v>
      </c>
      <c r="R100" s="742"/>
      <c r="S100" s="1179"/>
      <c r="T100" s="553" t="s">
        <v>652</v>
      </c>
      <c r="U100" s="757">
        <f>M100</f>
        <v>0</v>
      </c>
      <c r="V100" s="553" t="s">
        <v>126</v>
      </c>
      <c r="W100" s="757" t="str">
        <f>O100</f>
        <v>None</v>
      </c>
      <c r="X100" s="740" t="s">
        <v>422</v>
      </c>
      <c r="Y100" s="914">
        <f>PersonCalcYr3!BN461</f>
        <v>0</v>
      </c>
      <c r="Z100" s="406"/>
    </row>
    <row r="101" spans="1:26" ht="12" customHeight="1" x14ac:dyDescent="0.25">
      <c r="A101" s="1179"/>
      <c r="B101" s="267"/>
      <c r="C101" s="267"/>
      <c r="D101" s="553" t="s">
        <v>554</v>
      </c>
      <c r="E101" s="945">
        <f>PersonCalcYr1!H297</f>
        <v>12</v>
      </c>
      <c r="F101" s="553"/>
      <c r="G101" s="946"/>
      <c r="H101" s="740" t="s">
        <v>230</v>
      </c>
      <c r="I101" s="914">
        <f>PersonCalcYr1!AR299</f>
        <v>0</v>
      </c>
      <c r="J101" s="267"/>
      <c r="K101" s="1179"/>
      <c r="L101" s="553" t="s">
        <v>625</v>
      </c>
      <c r="M101" s="945">
        <f>PersonCalcYr2!H379</f>
        <v>12</v>
      </c>
      <c r="N101" s="553"/>
      <c r="O101" s="946"/>
      <c r="P101" s="740" t="s">
        <v>230</v>
      </c>
      <c r="Q101" s="914">
        <f>PersonCalcYr2!BD381</f>
        <v>0</v>
      </c>
      <c r="R101" s="742"/>
      <c r="S101" s="1179"/>
      <c r="T101" s="553" t="s">
        <v>625</v>
      </c>
      <c r="U101" s="945">
        <f>PersonCalcYr3!H460</f>
        <v>12</v>
      </c>
      <c r="V101" s="553"/>
      <c r="W101" s="946"/>
      <c r="X101" s="740" t="s">
        <v>230</v>
      </c>
      <c r="Y101" s="914">
        <f>PersonCalcYr3!BN462</f>
        <v>0</v>
      </c>
      <c r="Z101" s="406"/>
    </row>
    <row r="102" spans="1:26" ht="12" customHeight="1" thickBot="1" x14ac:dyDescent="0.3">
      <c r="A102" s="1179"/>
      <c r="B102" s="553"/>
      <c r="C102" s="947"/>
      <c r="D102" s="941"/>
      <c r="E102" s="267"/>
      <c r="F102" s="553" t="s">
        <v>645</v>
      </c>
      <c r="G102" s="948" t="s">
        <v>669</v>
      </c>
      <c r="H102" s="740" t="s">
        <v>127</v>
      </c>
      <c r="I102" s="914">
        <f>PersonCalcYr1!AR300</f>
        <v>0</v>
      </c>
      <c r="J102" s="267"/>
      <c r="K102" s="1179"/>
      <c r="L102" s="941"/>
      <c r="M102" s="267"/>
      <c r="N102" s="553" t="s">
        <v>646</v>
      </c>
      <c r="O102" s="948" t="str">
        <f>G102</f>
        <v>No</v>
      </c>
      <c r="P102" s="740" t="s">
        <v>127</v>
      </c>
      <c r="Q102" s="914">
        <f>PersonCalcYr2!BD382</f>
        <v>0</v>
      </c>
      <c r="R102" s="742"/>
      <c r="S102" s="1179"/>
      <c r="T102" s="941"/>
      <c r="U102" s="267"/>
      <c r="V102" s="553" t="s">
        <v>646</v>
      </c>
      <c r="W102" s="948" t="str">
        <f>O102</f>
        <v>No</v>
      </c>
      <c r="X102" s="740" t="s">
        <v>127</v>
      </c>
      <c r="Y102" s="914">
        <f>PersonCalcYr3!BN463</f>
        <v>0</v>
      </c>
      <c r="Z102" s="406"/>
    </row>
    <row r="103" spans="1:26" ht="12" customHeight="1" thickBot="1" x14ac:dyDescent="0.3">
      <c r="A103" s="1180"/>
      <c r="B103" s="555"/>
      <c r="C103" s="920"/>
      <c r="D103" s="921"/>
      <c r="E103" s="920"/>
      <c r="F103" s="555"/>
      <c r="G103" s="555"/>
      <c r="H103" s="949" t="s">
        <v>567</v>
      </c>
      <c r="I103" s="924">
        <f>PersonCalcYr1!AS300</f>
        <v>0</v>
      </c>
      <c r="J103" s="267"/>
      <c r="K103" s="1180"/>
      <c r="L103" s="921"/>
      <c r="M103" s="920"/>
      <c r="N103" s="555"/>
      <c r="O103" s="555"/>
      <c r="P103" s="949" t="s">
        <v>567</v>
      </c>
      <c r="Q103" s="924">
        <f>PersonCalcYr2!BE382</f>
        <v>0</v>
      </c>
      <c r="R103" s="742"/>
      <c r="S103" s="1180"/>
      <c r="T103" s="921"/>
      <c r="U103" s="920"/>
      <c r="V103" s="555"/>
      <c r="W103" s="555"/>
      <c r="X103" s="949" t="s">
        <v>567</v>
      </c>
      <c r="Y103" s="924">
        <f>PersonCalcYr3!BO463</f>
        <v>0</v>
      </c>
      <c r="Z103" s="406"/>
    </row>
    <row r="104" spans="1:26" ht="11.25" customHeight="1" x14ac:dyDescent="0.25">
      <c r="A104" s="267"/>
      <c r="B104" s="267"/>
      <c r="C104" s="267"/>
      <c r="D104" s="267"/>
      <c r="E104" s="267"/>
      <c r="F104" s="267"/>
      <c r="G104" s="267"/>
      <c r="H104" s="267"/>
      <c r="I104" s="267"/>
      <c r="J104" s="267"/>
      <c r="K104" s="267"/>
      <c r="L104" s="267"/>
      <c r="M104" s="267"/>
      <c r="N104" s="267"/>
      <c r="O104" s="267"/>
      <c r="P104" s="267"/>
      <c r="Q104" s="267"/>
      <c r="R104" s="742"/>
      <c r="S104" s="267"/>
      <c r="T104" s="267"/>
      <c r="U104" s="267"/>
      <c r="V104" s="267"/>
      <c r="W104" s="267"/>
      <c r="X104" s="267"/>
      <c r="Y104" s="267"/>
      <c r="Z104" s="406"/>
    </row>
    <row r="105" spans="1:26" ht="12.75" customHeight="1" thickBot="1" x14ac:dyDescent="0.3">
      <c r="A105" s="908"/>
      <c r="B105" s="905" t="s">
        <v>449</v>
      </c>
      <c r="C105" s="906"/>
      <c r="D105" s="906"/>
      <c r="E105" s="906"/>
      <c r="F105" s="906"/>
      <c r="G105" s="906"/>
      <c r="H105" s="906"/>
      <c r="I105" s="906" t="s">
        <v>433</v>
      </c>
      <c r="K105" s="908"/>
      <c r="L105" s="905" t="s">
        <v>449</v>
      </c>
      <c r="M105" s="906"/>
      <c r="N105" s="906"/>
      <c r="O105" s="906"/>
      <c r="P105" s="906"/>
      <c r="Q105" s="906" t="s">
        <v>596</v>
      </c>
      <c r="R105" s="406"/>
      <c r="S105" s="908"/>
      <c r="T105" s="905" t="s">
        <v>449</v>
      </c>
      <c r="U105" s="906"/>
      <c r="V105" s="906"/>
      <c r="W105" s="906"/>
      <c r="X105" s="906"/>
      <c r="Y105" s="906" t="s">
        <v>654</v>
      </c>
      <c r="Z105" s="406"/>
    </row>
    <row r="106" spans="1:26" ht="12" customHeight="1" x14ac:dyDescent="0.25">
      <c r="A106" s="1178">
        <v>1</v>
      </c>
      <c r="B106" s="557"/>
      <c r="C106" s="930" t="s">
        <v>515</v>
      </c>
      <c r="D106" s="951">
        <v>0</v>
      </c>
      <c r="E106" s="181"/>
      <c r="F106" s="554"/>
      <c r="G106" s="554"/>
      <c r="H106" s="910" t="s">
        <v>422</v>
      </c>
      <c r="I106" s="911">
        <f>PersonCalcYr1!AR304</f>
        <v>0</v>
      </c>
      <c r="J106" s="267"/>
      <c r="K106" s="1178">
        <v>1</v>
      </c>
      <c r="L106" s="930" t="s">
        <v>515</v>
      </c>
      <c r="M106" s="951">
        <f>D106</f>
        <v>0</v>
      </c>
      <c r="N106" s="554"/>
      <c r="O106" s="554"/>
      <c r="P106" s="910" t="s">
        <v>422</v>
      </c>
      <c r="Q106" s="911">
        <f>PersonCalcYr2!BD386</f>
        <v>0</v>
      </c>
      <c r="R106" s="742"/>
      <c r="S106" s="1178">
        <v>1</v>
      </c>
      <c r="T106" s="930" t="s">
        <v>515</v>
      </c>
      <c r="U106" s="951">
        <f>M106</f>
        <v>0</v>
      </c>
      <c r="V106" s="554"/>
      <c r="W106" s="554"/>
      <c r="X106" s="910" t="s">
        <v>422</v>
      </c>
      <c r="Y106" s="911">
        <f>PersonCalcYr3!BN467</f>
        <v>0</v>
      </c>
      <c r="Z106" s="406"/>
    </row>
    <row r="107" spans="1:26" ht="12" customHeight="1" thickBot="1" x14ac:dyDescent="0.3">
      <c r="A107" s="1179"/>
      <c r="B107" s="903"/>
      <c r="C107" s="553" t="s">
        <v>420</v>
      </c>
      <c r="D107" s="918">
        <v>0</v>
      </c>
      <c r="E107" s="553" t="s">
        <v>421</v>
      </c>
      <c r="F107" s="952">
        <v>0</v>
      </c>
      <c r="G107" s="953"/>
      <c r="H107" s="740" t="s">
        <v>230</v>
      </c>
      <c r="I107" s="914">
        <f>PersonCalcYr1!AR305</f>
        <v>0</v>
      </c>
      <c r="J107" s="267"/>
      <c r="K107" s="1179"/>
      <c r="L107" s="553" t="s">
        <v>420</v>
      </c>
      <c r="M107" s="918">
        <f>D107</f>
        <v>0</v>
      </c>
      <c r="N107" s="553" t="s">
        <v>421</v>
      </c>
      <c r="O107" s="952">
        <f>F107</f>
        <v>0</v>
      </c>
      <c r="P107" s="740" t="s">
        <v>230</v>
      </c>
      <c r="Q107" s="914">
        <f>PersonCalcYr2!BD387</f>
        <v>0</v>
      </c>
      <c r="R107" s="742"/>
      <c r="S107" s="1179"/>
      <c r="T107" s="553" t="s">
        <v>420</v>
      </c>
      <c r="U107" s="918">
        <f>M107</f>
        <v>0</v>
      </c>
      <c r="V107" s="553" t="s">
        <v>421</v>
      </c>
      <c r="W107" s="952">
        <f>O107</f>
        <v>0</v>
      </c>
      <c r="X107" s="740" t="s">
        <v>230</v>
      </c>
      <c r="Y107" s="914">
        <f>PersonCalcYr3!BN468</f>
        <v>0</v>
      </c>
      <c r="Z107" s="406"/>
    </row>
    <row r="108" spans="1:26" ht="12" customHeight="1" thickBot="1" x14ac:dyDescent="0.3">
      <c r="A108" s="1180"/>
      <c r="B108" s="556"/>
      <c r="C108" s="555"/>
      <c r="D108" s="555"/>
      <c r="E108" s="954"/>
      <c r="F108" s="555"/>
      <c r="G108" s="920"/>
      <c r="H108" s="949" t="s">
        <v>567</v>
      </c>
      <c r="I108" s="924">
        <f>PersonCalcYr1!AS305</f>
        <v>0</v>
      </c>
      <c r="J108" s="267"/>
      <c r="K108" s="1180"/>
      <c r="L108" s="555"/>
      <c r="M108" s="954"/>
      <c r="N108" s="555"/>
      <c r="O108" s="920"/>
      <c r="P108" s="949" t="s">
        <v>567</v>
      </c>
      <c r="Q108" s="924">
        <f>PersonCalcYr2!BE387</f>
        <v>0</v>
      </c>
      <c r="R108" s="742"/>
      <c r="S108" s="1180"/>
      <c r="T108" s="555"/>
      <c r="U108" s="954"/>
      <c r="V108" s="555"/>
      <c r="W108" s="920"/>
      <c r="X108" s="949" t="s">
        <v>567</v>
      </c>
      <c r="Y108" s="924">
        <f>PersonCalcYr3!BO468</f>
        <v>0</v>
      </c>
      <c r="Z108" s="406"/>
    </row>
    <row r="109" spans="1:26" ht="11.25" customHeight="1" thickBot="1" x14ac:dyDescent="0.3">
      <c r="A109" s="267"/>
      <c r="B109" s="267"/>
      <c r="C109" s="267"/>
      <c r="D109" s="267"/>
      <c r="E109" s="267"/>
      <c r="F109" s="267"/>
      <c r="G109" s="267"/>
      <c r="H109" s="267"/>
      <c r="I109" s="267"/>
      <c r="J109" s="267"/>
      <c r="K109" s="267"/>
      <c r="L109" s="267"/>
      <c r="M109" s="267"/>
      <c r="N109" s="267"/>
      <c r="O109" s="267"/>
      <c r="P109" s="267"/>
      <c r="Q109" s="267"/>
      <c r="R109" s="742"/>
      <c r="S109" s="267"/>
      <c r="T109" s="267"/>
      <c r="U109" s="267"/>
      <c r="V109" s="267"/>
      <c r="W109" s="267"/>
      <c r="X109" s="267"/>
      <c r="Y109" s="267"/>
      <c r="Z109" s="406"/>
    </row>
    <row r="110" spans="1:26" ht="12" customHeight="1" x14ac:dyDescent="0.25">
      <c r="A110" s="1178">
        <v>2</v>
      </c>
      <c r="B110" s="557"/>
      <c r="C110" s="930" t="s">
        <v>515</v>
      </c>
      <c r="D110" s="955">
        <v>0</v>
      </c>
      <c r="E110" s="181"/>
      <c r="F110" s="554"/>
      <c r="G110" s="554"/>
      <c r="H110" s="910" t="s">
        <v>422</v>
      </c>
      <c r="I110" s="911">
        <f>PersonCalcYr1!AR308</f>
        <v>0</v>
      </c>
      <c r="J110" s="267"/>
      <c r="K110" s="1178">
        <v>2</v>
      </c>
      <c r="L110" s="930" t="s">
        <v>515</v>
      </c>
      <c r="M110" s="951">
        <f>D110</f>
        <v>0</v>
      </c>
      <c r="N110" s="554"/>
      <c r="O110" s="554"/>
      <c r="P110" s="910" t="s">
        <v>422</v>
      </c>
      <c r="Q110" s="911">
        <f>PersonCalcYr2!BD390</f>
        <v>0</v>
      </c>
      <c r="R110" s="742"/>
      <c r="S110" s="1178">
        <v>2</v>
      </c>
      <c r="T110" s="930" t="s">
        <v>515</v>
      </c>
      <c r="U110" s="951">
        <f>M110</f>
        <v>0</v>
      </c>
      <c r="V110" s="554"/>
      <c r="W110" s="554"/>
      <c r="X110" s="910" t="s">
        <v>422</v>
      </c>
      <c r="Y110" s="911">
        <f>PersonCalcYr3!BN471</f>
        <v>0</v>
      </c>
      <c r="Z110" s="406"/>
    </row>
    <row r="111" spans="1:26" ht="12" customHeight="1" thickBot="1" x14ac:dyDescent="0.3">
      <c r="A111" s="1179"/>
      <c r="B111" s="553"/>
      <c r="C111" s="553" t="s">
        <v>420</v>
      </c>
      <c r="D111" s="918">
        <v>0</v>
      </c>
      <c r="E111" s="553" t="s">
        <v>421</v>
      </c>
      <c r="F111" s="952">
        <v>0</v>
      </c>
      <c r="G111" s="953"/>
      <c r="H111" s="740" t="s">
        <v>230</v>
      </c>
      <c r="I111" s="914">
        <f>PersonCalcYr1!AR309</f>
        <v>0</v>
      </c>
      <c r="J111" s="267"/>
      <c r="K111" s="1179"/>
      <c r="L111" s="553" t="s">
        <v>420</v>
      </c>
      <c r="M111" s="918">
        <f>D111</f>
        <v>0</v>
      </c>
      <c r="N111" s="553" t="s">
        <v>421</v>
      </c>
      <c r="O111" s="952">
        <f>F111</f>
        <v>0</v>
      </c>
      <c r="P111" s="740" t="s">
        <v>230</v>
      </c>
      <c r="Q111" s="914">
        <f>PersonCalcYr2!BD391</f>
        <v>0</v>
      </c>
      <c r="R111" s="742"/>
      <c r="S111" s="1179"/>
      <c r="T111" s="553" t="s">
        <v>420</v>
      </c>
      <c r="U111" s="918">
        <f>M111</f>
        <v>0</v>
      </c>
      <c r="V111" s="553" t="s">
        <v>421</v>
      </c>
      <c r="W111" s="952">
        <f>O111</f>
        <v>0</v>
      </c>
      <c r="X111" s="740" t="s">
        <v>230</v>
      </c>
      <c r="Y111" s="914">
        <f>PersonCalcYr3!BN472</f>
        <v>0</v>
      </c>
      <c r="Z111" s="406"/>
    </row>
    <row r="112" spans="1:26" ht="12" customHeight="1" thickBot="1" x14ac:dyDescent="0.3">
      <c r="A112" s="1180"/>
      <c r="B112" s="556"/>
      <c r="C112" s="956"/>
      <c r="D112" s="555"/>
      <c r="E112" s="954"/>
      <c r="F112" s="555"/>
      <c r="G112" s="920"/>
      <c r="H112" s="949" t="s">
        <v>567</v>
      </c>
      <c r="I112" s="924">
        <f>PersonCalcYr1!AS309</f>
        <v>0</v>
      </c>
      <c r="J112" s="267"/>
      <c r="K112" s="1180"/>
      <c r="L112" s="555"/>
      <c r="M112" s="954"/>
      <c r="N112" s="555"/>
      <c r="O112" s="920"/>
      <c r="P112" s="949" t="s">
        <v>567</v>
      </c>
      <c r="Q112" s="924">
        <f>PersonCalcYr2!BE391</f>
        <v>0</v>
      </c>
      <c r="R112" s="742"/>
      <c r="S112" s="1180"/>
      <c r="T112" s="555"/>
      <c r="U112" s="954"/>
      <c r="V112" s="555"/>
      <c r="W112" s="920"/>
      <c r="X112" s="949" t="s">
        <v>567</v>
      </c>
      <c r="Y112" s="924">
        <f>PersonCalcYr3!BO472</f>
        <v>0</v>
      </c>
      <c r="Z112" s="406"/>
    </row>
    <row r="113" spans="1:26" ht="11.25" customHeight="1" thickBot="1" x14ac:dyDescent="0.3">
      <c r="A113" s="267"/>
      <c r="B113" s="957"/>
      <c r="C113" s="957"/>
      <c r="D113" s="267"/>
      <c r="E113" s="267"/>
      <c r="F113" s="267"/>
      <c r="G113" s="267"/>
      <c r="H113" s="267"/>
      <c r="I113" s="267"/>
      <c r="J113" s="267"/>
      <c r="K113" s="267"/>
      <c r="L113" s="267"/>
      <c r="M113" s="267"/>
      <c r="N113" s="267"/>
      <c r="O113" s="267"/>
      <c r="P113" s="267"/>
      <c r="Q113" s="267"/>
      <c r="R113" s="742"/>
      <c r="S113" s="267"/>
      <c r="T113" s="267"/>
      <c r="U113" s="267"/>
      <c r="V113" s="267"/>
      <c r="W113" s="267"/>
      <c r="X113" s="267"/>
      <c r="Y113" s="267"/>
      <c r="Z113" s="406"/>
    </row>
    <row r="114" spans="1:26" ht="12" customHeight="1" x14ac:dyDescent="0.25">
      <c r="A114" s="1178">
        <v>3</v>
      </c>
      <c r="B114" s="557"/>
      <c r="C114" s="930" t="s">
        <v>515</v>
      </c>
      <c r="D114" s="951">
        <v>0</v>
      </c>
      <c r="E114" s="181"/>
      <c r="F114" s="554"/>
      <c r="G114" s="554"/>
      <c r="H114" s="910" t="s">
        <v>422</v>
      </c>
      <c r="I114" s="911">
        <f>PersonCalcYr1!AR312</f>
        <v>0</v>
      </c>
      <c r="J114" s="267"/>
      <c r="K114" s="1178">
        <v>3</v>
      </c>
      <c r="L114" s="930" t="s">
        <v>515</v>
      </c>
      <c r="M114" s="951">
        <f>D114</f>
        <v>0</v>
      </c>
      <c r="N114" s="554"/>
      <c r="O114" s="554"/>
      <c r="P114" s="910" t="s">
        <v>422</v>
      </c>
      <c r="Q114" s="911">
        <f>PersonCalcYr2!BD394</f>
        <v>0</v>
      </c>
      <c r="R114" s="742"/>
      <c r="S114" s="1178">
        <v>3</v>
      </c>
      <c r="T114" s="930" t="s">
        <v>515</v>
      </c>
      <c r="U114" s="951">
        <f>M114</f>
        <v>0</v>
      </c>
      <c r="V114" s="554"/>
      <c r="W114" s="554"/>
      <c r="X114" s="910" t="s">
        <v>422</v>
      </c>
      <c r="Y114" s="911">
        <f>PersonCalcYr3!BN475</f>
        <v>0</v>
      </c>
      <c r="Z114" s="406"/>
    </row>
    <row r="115" spans="1:26" ht="12" customHeight="1" thickBot="1" x14ac:dyDescent="0.3">
      <c r="A115" s="1179"/>
      <c r="B115" s="553"/>
      <c r="C115" s="553" t="s">
        <v>420</v>
      </c>
      <c r="D115" s="918">
        <v>0</v>
      </c>
      <c r="E115" s="553" t="s">
        <v>421</v>
      </c>
      <c r="F115" s="952">
        <v>0</v>
      </c>
      <c r="G115" s="953"/>
      <c r="H115" s="740" t="s">
        <v>230</v>
      </c>
      <c r="I115" s="914">
        <f>PersonCalcYr1!AR313</f>
        <v>0</v>
      </c>
      <c r="J115" s="267"/>
      <c r="K115" s="1179"/>
      <c r="L115" s="553" t="s">
        <v>420</v>
      </c>
      <c r="M115" s="918">
        <f>D115</f>
        <v>0</v>
      </c>
      <c r="N115" s="553" t="s">
        <v>421</v>
      </c>
      <c r="O115" s="952">
        <f>F115</f>
        <v>0</v>
      </c>
      <c r="P115" s="740" t="s">
        <v>230</v>
      </c>
      <c r="Q115" s="914">
        <f>PersonCalcYr2!BD395</f>
        <v>0</v>
      </c>
      <c r="R115" s="742"/>
      <c r="S115" s="1179"/>
      <c r="T115" s="553" t="s">
        <v>420</v>
      </c>
      <c r="U115" s="918">
        <f>M115</f>
        <v>0</v>
      </c>
      <c r="V115" s="553" t="s">
        <v>421</v>
      </c>
      <c r="W115" s="952">
        <f>O115</f>
        <v>0</v>
      </c>
      <c r="X115" s="740" t="s">
        <v>230</v>
      </c>
      <c r="Y115" s="914">
        <f>PersonCalcYr3!BN476</f>
        <v>0</v>
      </c>
      <c r="Z115" s="406"/>
    </row>
    <row r="116" spans="1:26" ht="12" customHeight="1" thickBot="1" x14ac:dyDescent="0.3">
      <c r="A116" s="1180"/>
      <c r="B116" s="556"/>
      <c r="C116" s="956"/>
      <c r="D116" s="555"/>
      <c r="E116" s="954"/>
      <c r="F116" s="555"/>
      <c r="G116" s="920"/>
      <c r="H116" s="949" t="s">
        <v>567</v>
      </c>
      <c r="I116" s="924">
        <f>PersonCalcYr1!AS313</f>
        <v>0</v>
      </c>
      <c r="J116" s="267"/>
      <c r="K116" s="1180"/>
      <c r="L116" s="555"/>
      <c r="M116" s="954"/>
      <c r="N116" s="555"/>
      <c r="O116" s="920"/>
      <c r="P116" s="949" t="s">
        <v>567</v>
      </c>
      <c r="Q116" s="924">
        <f>PersonCalcYr2!BE395</f>
        <v>0</v>
      </c>
      <c r="R116" s="742"/>
      <c r="S116" s="1180"/>
      <c r="T116" s="555"/>
      <c r="U116" s="954"/>
      <c r="V116" s="555"/>
      <c r="W116" s="920"/>
      <c r="X116" s="949" t="s">
        <v>567</v>
      </c>
      <c r="Y116" s="924">
        <f>PersonCalcYr3!BO476</f>
        <v>0</v>
      </c>
      <c r="Z116" s="406"/>
    </row>
  </sheetData>
  <sheetProtection algorithmName="SHA-512" hashValue="PNOSKF14QdZykar0mK3orIF4UXdgvz6W7tSnQ6Zy4Ll2cLnyPeffVt7ehrsRjSBNtl2EJTnu7ODNrcBbb7xebw==" saltValue="WY94BspoUONXyA3i7vVXAw==" spinCount="100000" sheet="1" objects="1" scenarios="1"/>
  <mergeCells count="74">
    <mergeCell ref="K110:K112"/>
    <mergeCell ref="K114:K116"/>
    <mergeCell ref="N1:O1"/>
    <mergeCell ref="Q4:Q5"/>
    <mergeCell ref="K73:K79"/>
    <mergeCell ref="K81:K87"/>
    <mergeCell ref="K89:K95"/>
    <mergeCell ref="K97:K103"/>
    <mergeCell ref="K106:K108"/>
    <mergeCell ref="K44:K47"/>
    <mergeCell ref="K49:K52"/>
    <mergeCell ref="K54:K57"/>
    <mergeCell ref="K59:K62"/>
    <mergeCell ref="K65:K71"/>
    <mergeCell ref="K14:K18"/>
    <mergeCell ref="K20:K24"/>
    <mergeCell ref="K39:K42"/>
    <mergeCell ref="N2:O2"/>
    <mergeCell ref="P2:Q2"/>
    <mergeCell ref="P3:Q3"/>
    <mergeCell ref="K8:K12"/>
    <mergeCell ref="A106:A108"/>
    <mergeCell ref="A110:A112"/>
    <mergeCell ref="A114:A116"/>
    <mergeCell ref="A89:A95"/>
    <mergeCell ref="A97:A103"/>
    <mergeCell ref="A65:A71"/>
    <mergeCell ref="A73:A79"/>
    <mergeCell ref="A81:A87"/>
    <mergeCell ref="A39:A42"/>
    <mergeCell ref="A44:A47"/>
    <mergeCell ref="A49:A52"/>
    <mergeCell ref="A54:A57"/>
    <mergeCell ref="A59:A62"/>
    <mergeCell ref="P1:Q1"/>
    <mergeCell ref="H1:I1"/>
    <mergeCell ref="F1:G1"/>
    <mergeCell ref="A32:A36"/>
    <mergeCell ref="A26:A30"/>
    <mergeCell ref="H4:I4"/>
    <mergeCell ref="A8:A12"/>
    <mergeCell ref="A14:A18"/>
    <mergeCell ref="A20:A24"/>
    <mergeCell ref="H5:I5"/>
    <mergeCell ref="F3:G3"/>
    <mergeCell ref="F4:G4"/>
    <mergeCell ref="H3:I3"/>
    <mergeCell ref="E4:E5"/>
    <mergeCell ref="K26:K30"/>
    <mergeCell ref="K32:K36"/>
    <mergeCell ref="V1:W1"/>
    <mergeCell ref="X1:Y1"/>
    <mergeCell ref="V2:W2"/>
    <mergeCell ref="X2:Y2"/>
    <mergeCell ref="X3:Y3"/>
    <mergeCell ref="Y4:Y5"/>
    <mergeCell ref="S8:S12"/>
    <mergeCell ref="S14:S18"/>
    <mergeCell ref="S20:S24"/>
    <mergeCell ref="S26:S30"/>
    <mergeCell ref="S32:S36"/>
    <mergeCell ref="S39:S42"/>
    <mergeCell ref="S44:S47"/>
    <mergeCell ref="S49:S52"/>
    <mergeCell ref="S54:S57"/>
    <mergeCell ref="S97:S103"/>
    <mergeCell ref="S106:S108"/>
    <mergeCell ref="S110:S112"/>
    <mergeCell ref="S114:S116"/>
    <mergeCell ref="S59:S62"/>
    <mergeCell ref="S65:S71"/>
    <mergeCell ref="S73:S79"/>
    <mergeCell ref="S81:S87"/>
    <mergeCell ref="S89:S95"/>
  </mergeCells>
  <dataValidations count="23">
    <dataValidation type="list" errorStyle="warning" allowBlank="1" showInputMessage="1" showErrorMessage="1" errorTitle="Select a Month" error="Indicate the month this person will begin to be paid if they are not be be paid the full budget period." sqref="U99 M40 M10 M16 M28 M34 U10 U16 U28 U34 M45 M50 M55 M60 U40 U45 U50 U55 U60 M67 M75 M83 M91 M99 U67 U83 U91" xr:uid="{00000000-0002-0000-0300-000000000000}">
      <formula1>"Jan, Feb, Mar, Apr, May, June, July, Aug, Sept, Oct, Nov, Dec"</formula1>
    </dataValidation>
    <dataValidation type="whole" operator="lessThan" allowBlank="1" showErrorMessage="1" errorTitle="Cannot exceed 11 months" error="If starting after the start month of the project, months paid for this person cannot exceed 11 and should not extend past end month of project._x000a_" promptTitle="Cannot exceed 11 months" prompt="If starting after the start month of the project, months paid cannot exceed 11 and should not extend past end month of project._x000a_" sqref="E116 E112 E108 M116 M112 M108 U116 U112 U108" xr:uid="{00000000-0002-0000-0300-000001000000}">
      <formula1>12</formula1>
    </dataValidation>
    <dataValidation type="list" allowBlank="1" showInputMessage="1" showErrorMessage="1" errorTitle="Select from List" error="Select 12 month or 9 month Grad Student." sqref="C98 C66 C74 C82 C90" xr:uid="{00000000-0002-0000-0300-000002000000}">
      <formula1>"9 Month, 12 Month"</formula1>
    </dataValidation>
    <dataValidation type="whole" operator="lessThanOrEqual" allowBlank="1" showErrorMessage="1" errorTitle="Cannot exceed months available." error="If starting after the start month of the project, months paid for this person cannot exceed the number of months left in the project period. _x000a_" promptTitle="Cannot exceed 11 months" prompt="If starting after the start month of the project, months paid cannot exceed 11 and should not extend past end month of project._x000a_" sqref="E84 E100 E92 E68 E76 M84 M100 M92 M68 M76 U84 U100 U92 U68 U76" xr:uid="{00000000-0002-0000-0300-000003000000}">
      <formula1>E69</formula1>
    </dataValidation>
    <dataValidation type="whole" operator="lessThanOrEqual" allowBlank="1" showErrorMessage="1" errorTitle="Cannot exceed months available." error="If starting after the start month of the project, months paid for this person cannot exceed the number of months left in the project period. " promptTitle="Cannot exceed 11 months" prompt="If starting after the start month of the project, months paid cannot exceed 11 and should not extend past end month of project._x000a_" sqref="E11 E23 E17 E29 E35 M11 M23 M17 M29 M35 U11 U23 U17 U29 U35" xr:uid="{00000000-0002-0000-0300-000004000000}">
      <formula1>E12</formula1>
    </dataValidation>
    <dataValidation type="decimal" operator="lessThanOrEqual" allowBlank="1" showErrorMessage="1" errorTitle="Summer Days Exceeds Limit" error="Summer Days cannot exceed the Maximum Available._x000a__x000a_" sqref="G10 G22 G28 G16 G34 O10 O22 O28 O16 O34 W10 W22 W28 W16 W34" xr:uid="{00000000-0002-0000-0300-000005000000}">
      <formula1>G11</formula1>
    </dataValidation>
    <dataValidation type="whole" operator="lessThanOrEqual" allowBlank="1" showInputMessage="1" showErrorMessage="1" errorTitle="Cannot exceed months available." error="If starting after the start month of the project, months paid for this person cannot exceed the number of months left in the project period. " sqref="E41 E46 E51 E56 E61 M41 M46 M51 M56 M61 U41 U46 U51 U56 U61" xr:uid="{00000000-0002-0000-0300-000006000000}">
      <formula1>E42</formula1>
    </dataValidation>
    <dataValidation type="list" allowBlank="1" showInputMessage="1" showErrorMessage="1" sqref="G70 O70 G78 G86 G94 G102 O78 O86 O94 O102 W70 W78 W86 W94 W102" xr:uid="{00000000-0002-0000-0300-000007000000}">
      <formula1>"No, Yes"</formula1>
    </dataValidation>
    <dataValidation type="decimal" allowBlank="1" showInputMessage="1" showErrorMessage="1" errorTitle="Enter Base Salary " error="Enter the Base Salary, no text allowed." sqref="C11" xr:uid="{00000000-0002-0000-0300-000008000000}">
      <formula1>0</formula1>
      <formula2>500000</formula2>
    </dataValidation>
    <dataValidation type="decimal" allowBlank="1" showInputMessage="1" showErrorMessage="1" errorTitle="Enter Base Salary" error="Enter the Base Salary, no text allowed." sqref="C61 C17 C23 C29 C35 C41 C46 C51 C56" xr:uid="{00000000-0002-0000-0300-000009000000}">
      <formula1>0</formula1>
      <formula2>500000</formula2>
    </dataValidation>
    <dataValidation type="decimal" allowBlank="1" showInputMessage="1" showErrorMessage="1" errorTitle="Enter 50% Monthly Rate" error="Enter the HALF TIME (50%) MONTHLY Rate for this person.  " sqref="C100 C68 C76 C84 C92" xr:uid="{00000000-0002-0000-0300-00000A000000}">
      <formula1>0</formula1>
      <formula2>5000</formula2>
    </dataValidation>
    <dataValidation type="whole" allowBlank="1" showInputMessage="1" showErrorMessage="1" errorTitle="Enter the number of students" error="Enter the number of  students being paid the same hourly rate." sqref="D114 D110" xr:uid="{00000000-0002-0000-0300-00000B000000}">
      <formula1>0</formula1>
      <formula2>500</formula2>
    </dataValidation>
    <dataValidation type="decimal" allowBlank="1" showInputMessage="1" showErrorMessage="1" errorTitle="Enter Houly Rate" error="Enter the Hourly Rate per student._x000a_" sqref="D115 D111 D107" xr:uid="{00000000-0002-0000-0300-00000C000000}">
      <formula1>0</formula1>
      <formula2>500</formula2>
    </dataValidation>
    <dataValidation type="list" allowBlank="1" showInputMessage="1" showErrorMessage="1" errorTitle="Select a Month" error="Indicate the month this person will begin to be paid if they are not be be paid the full budget period." sqref="E10 E16 E22 E28 E34 E40 E45 E50 E55 E60 E67 E75 E83 E91 E99" xr:uid="{00000000-0002-0000-0300-00000D000000}">
      <formula1>"Jan, Feb, Mar, Apr, May, June, July, Aug, Sept, Oct, Nov, Dec"</formula1>
    </dataValidation>
    <dataValidation type="decimal" allowBlank="1" showInputMessage="1" showErrorMessage="1" errorTitle="Enter Hours per Year" error="Enter the number of hours each student will be paid." sqref="F107 F111 F115 O107 O111 O115 W107 W111 W115" xr:uid="{00000000-0002-0000-0300-00000E000000}">
      <formula1>0</formula1>
      <formula2>100000</formula2>
    </dataValidation>
    <dataValidation type="list" errorStyle="warning" allowBlank="1" showInputMessage="1" showErrorMessage="1" errorTitle="Select a Month" error="Indicate the month this person will begin to be paid if they are not be be paid the full budget period._x000a_" sqref="M22 U22 U75" xr:uid="{00000000-0002-0000-0300-00000F000000}">
      <formula1>"Jan, Feb, Mar, Apr, May, June, July, Aug, Sept, Oct, Nov, Dec"</formula1>
    </dataValidation>
    <dataValidation type="whole" allowBlank="1" showInputMessage="1" showErrorMessage="1" errorTitle="Enter the number of Students" error="Enter the number of students being paid the same hourly rate." sqref="U114 M106 M110 M114 U106 U110" xr:uid="{00000000-0002-0000-0300-000010000000}">
      <formula1>0</formula1>
      <formula2>500</formula2>
    </dataValidation>
    <dataValidation type="whole" allowBlank="1" showInputMessage="1" showErrorMessage="1" errorTitle="Enter the number of students" error="Enter the number of _x000a_students being paid the same hourly rate." sqref="D106" xr:uid="{00000000-0002-0000-0300-000011000000}">
      <formula1>0</formula1>
      <formula2>500</formula2>
    </dataValidation>
    <dataValidation type="decimal" allowBlank="1" showInputMessage="1" showErrorMessage="1" errorTitle="Enter Hourly Rate" error="Enter the Hourly Rate per student." sqref="M107 M111 M115 U107 U111 U115" xr:uid="{00000000-0002-0000-0300-000012000000}">
      <formula1>0</formula1>
      <formula2>500</formula2>
    </dataValidation>
    <dataValidation type="list" allowBlank="1" showInputMessage="1" showErrorMessage="1" errorTitle="Select FY Effort" error="Select the Effort this this FY Grad." sqref="G66 G74 G82 G90 G98" xr:uid="{00000000-0002-0000-0300-000013000000}">
      <formula1>"0%, 25%, 50%"</formula1>
    </dataValidation>
    <dataValidation type="list" allowBlank="1" showInputMessage="1" showErrorMessage="1" errorTitle="Select AY Effort" error="Select the AY Effort for this Grad." sqref="G67 G75 G83 G91 G99" xr:uid="{00000000-0002-0000-0300-000014000000}">
      <formula1>"0%, 25%, 50%"</formula1>
    </dataValidation>
    <dataValidation type="list" errorStyle="warning" allowBlank="1" showInputMessage="1" showErrorMessage="1" errorTitle="Select FY Effort" error="Select the Effort this this FY Grad." sqref="O66 O74 O82 O90 O98 W66 W74 W82 W90 W98" xr:uid="{00000000-0002-0000-0300-000015000000}">
      <formula1>"0%, 25%, 50%"</formula1>
    </dataValidation>
    <dataValidation type="list" errorStyle="warning" allowBlank="1" showInputMessage="1" showErrorMessage="1" errorTitle="Select AY Effort" error="Select the AY Effort for this Grad." sqref="O67 O75 O83 O91 O99 W67 W75 W83 W91 W99" xr:uid="{00000000-0002-0000-0300-000016000000}">
      <formula1>"0%, 25%, 50%"</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4">
        <x14:dataValidation type="list" showInputMessage="1" showErrorMessage="1" errorTitle="Select from List" error="Select a Position Type from the List." xr:uid="{00000000-0002-0000-0300-000017000000}">
          <x14:formula1>
            <xm:f>'Rate Tables'!$O$2:$O$6</xm:f>
          </x14:formula1>
          <xm:sqref>C9 C15 C21 C27 C33 C39 C44 C49 C54 C59</xm:sqref>
        </x14:dataValidation>
        <x14:dataValidation type="list" allowBlank="1" showInputMessage="1" showErrorMessage="1" errorTitle="Select Yes or No" error="Indicate if this person will be paid the full budget period by selecting Yes or No." xr:uid="{00000000-0002-0000-0300-000018000000}">
          <x14:formula1>
            <xm:f>'Lookup Tables'!$AK$28:$AK$29</xm:f>
          </x14:formula1>
          <xm:sqref>M9 M15 M21 M27 M33 M39 M44 M49 M54 M59 M66 M74 M82 M90 M98 U98 U90 U82 U74 U66 U59 U54 U49 U44 U39 U33 U27 U21 U15 U9 E9 E15 E21 E27 E33 E39 E44 E49 E54 E59 E66 E74 E82 E90 E98</xm:sqref>
        </x14:dataValidation>
        <x14:dataValidation type="list" allowBlank="1" showInputMessage="1" showErrorMessage="1" errorTitle="Select Summer Effort" error="Select the Summer Effort for this AY Grad." xr:uid="{00000000-0002-0000-0300-000019000000}">
          <x14:formula1>
            <xm:f>'Lookup Tables'!$AF$22:$AF$24</xm:f>
          </x14:formula1>
          <xm:sqref>G68 G76 G84 G92 G100</xm:sqref>
        </x14:dataValidation>
        <x14:dataValidation type="list" errorStyle="warning" allowBlank="1" showInputMessage="1" showErrorMessage="1" errorTitle="Select Summer Effort" error="Select the Summer Effort for this AY Grad." xr:uid="{00000000-0002-0000-0300-00001A000000}">
          <x14:formula1>
            <xm:f>'Lookup Tables'!$AF$22:$AF$24</xm:f>
          </x14:formula1>
          <xm:sqref>O68 O76 O84 O92 O100 W68 W76 W84 W92 W100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U314"/>
  <sheetViews>
    <sheetView topLeftCell="A133" zoomScale="70" zoomScaleNormal="70" zoomScaleSheetLayoutView="70" workbookViewId="0">
      <pane xSplit="5" topLeftCell="I1" activePane="topRight" state="frozen"/>
      <selection pane="topRight" activeCell="X183" sqref="X183"/>
    </sheetView>
  </sheetViews>
  <sheetFormatPr defaultRowHeight="15" x14ac:dyDescent="0.25"/>
  <cols>
    <col min="1" max="1" width="23.28515625" style="11" customWidth="1"/>
    <col min="2" max="2" width="24.42578125" style="11" bestFit="1" customWidth="1"/>
    <col min="3" max="3" width="15.28515625" style="11" bestFit="1" customWidth="1"/>
    <col min="4" max="4" width="6.140625" style="11" customWidth="1"/>
    <col min="5" max="5" width="9.7109375" style="11" customWidth="1"/>
    <col min="6" max="6" width="6.140625" style="11" customWidth="1"/>
    <col min="7" max="7" width="11.85546875" style="11" customWidth="1"/>
    <col min="8" max="8" width="23" style="11" customWidth="1"/>
    <col min="9" max="9" width="15" style="11" customWidth="1"/>
    <col min="10" max="10" width="14.85546875" style="11" customWidth="1"/>
    <col min="11" max="11" width="17.28515625" style="11" customWidth="1"/>
    <col min="12" max="12" width="13.42578125" style="11" customWidth="1"/>
    <col min="13" max="13" width="17.28515625" style="11" customWidth="1"/>
    <col min="14" max="14" width="12.85546875" style="11" customWidth="1"/>
    <col min="15" max="15" width="13.7109375" style="11" customWidth="1"/>
    <col min="16" max="16" width="10.42578125" style="11" customWidth="1"/>
    <col min="17" max="17" width="21.28515625" style="11" customWidth="1"/>
    <col min="18" max="18" width="18" style="11" customWidth="1"/>
    <col min="19" max="19" width="11.28515625" style="11" customWidth="1"/>
    <col min="20" max="20" width="17.7109375" style="11" customWidth="1"/>
    <col min="21" max="21" width="14.140625" style="11" customWidth="1"/>
    <col min="22" max="22" width="17.7109375" style="11" customWidth="1"/>
    <col min="23" max="23" width="13.7109375" style="11" customWidth="1"/>
    <col min="24" max="24" width="16.140625" style="11" customWidth="1"/>
    <col min="25" max="25" width="13" style="11" customWidth="1"/>
    <col min="26" max="26" width="14.7109375" style="11" customWidth="1"/>
    <col min="27" max="27" width="13.28515625" style="11" customWidth="1"/>
    <col min="28" max="28" width="18" style="11" customWidth="1"/>
    <col min="29" max="29" width="11.85546875" style="11" customWidth="1"/>
    <col min="30" max="30" width="13" style="11" customWidth="1"/>
    <col min="31" max="31" width="13.28515625" style="11" customWidth="1"/>
    <col min="32" max="32" width="14.140625" style="11" customWidth="1"/>
    <col min="33" max="33" width="18" style="11" customWidth="1"/>
    <col min="34" max="34" width="13.7109375" style="11" customWidth="1"/>
    <col min="35" max="35" width="16.140625" style="11" customWidth="1"/>
    <col min="36" max="36" width="14.7109375" style="11" customWidth="1"/>
    <col min="37" max="38" width="13.28515625" style="11" customWidth="1"/>
    <col min="39" max="39" width="12.140625" style="11" customWidth="1"/>
    <col min="40" max="40" width="3.85546875" style="11" customWidth="1"/>
    <col min="41" max="41" width="13.5703125" style="304" customWidth="1"/>
    <col min="42" max="42" width="10" style="11" customWidth="1"/>
    <col min="43" max="43" width="15.5703125" style="11" customWidth="1"/>
    <col min="44" max="44" width="16" style="11" bestFit="1" customWidth="1"/>
    <col min="45" max="45" width="15.85546875" style="11" customWidth="1"/>
    <col min="46" max="46" width="10.28515625" style="11" bestFit="1" customWidth="1"/>
    <col min="47" max="47" width="104.85546875" style="11" customWidth="1"/>
    <col min="48" max="16384" width="9.140625" style="11"/>
  </cols>
  <sheetData>
    <row r="1" spans="1:47" ht="18.75" customHeight="1" x14ac:dyDescent="0.35">
      <c r="A1" s="1200" t="s">
        <v>243</v>
      </c>
      <c r="B1" s="1200"/>
      <c r="C1" s="1200"/>
      <c r="D1" s="1200"/>
      <c r="AM1" s="1202"/>
      <c r="AN1" s="1202"/>
      <c r="AO1" s="1202"/>
      <c r="AP1" s="1202"/>
      <c r="AQ1" s="1202"/>
      <c r="AR1" s="1202"/>
      <c r="AS1" s="368"/>
    </row>
    <row r="2" spans="1:47" ht="18" customHeight="1" x14ac:dyDescent="0.25">
      <c r="A2" s="1201" t="s">
        <v>242</v>
      </c>
      <c r="B2" s="1201"/>
      <c r="C2" s="1201"/>
      <c r="D2" s="174"/>
      <c r="E2" s="16"/>
      <c r="AM2" s="1202"/>
      <c r="AN2" s="1202"/>
      <c r="AO2" s="1202"/>
      <c r="AP2" s="1202"/>
      <c r="AQ2" s="1202"/>
      <c r="AR2" s="1202"/>
      <c r="AS2" s="368"/>
    </row>
    <row r="3" spans="1:47" ht="13.5" customHeight="1" thickBot="1" x14ac:dyDescent="0.3">
      <c r="B3" s="288"/>
      <c r="C3" s="288" t="s">
        <v>14</v>
      </c>
      <c r="D3" s="173" t="s">
        <v>15</v>
      </c>
      <c r="E3" s="175"/>
      <c r="F3" s="175"/>
      <c r="G3" s="175"/>
      <c r="H3" s="175"/>
      <c r="J3" s="175"/>
      <c r="K3" s="175"/>
      <c r="L3" s="175"/>
      <c r="M3" s="175"/>
      <c r="N3" s="175"/>
      <c r="O3" s="175"/>
      <c r="P3" s="17"/>
      <c r="Q3" s="17"/>
      <c r="R3" s="17"/>
      <c r="S3" s="17"/>
      <c r="T3" s="17"/>
      <c r="U3" s="17"/>
      <c r="V3" s="17"/>
      <c r="W3" s="17"/>
      <c r="X3" s="175"/>
      <c r="Y3" s="175"/>
      <c r="Z3" s="175"/>
      <c r="AA3" s="175"/>
      <c r="AB3" s="175"/>
      <c r="AC3" s="175"/>
      <c r="AD3" s="175"/>
      <c r="AE3" s="175"/>
      <c r="AF3" s="175"/>
      <c r="AG3" s="175"/>
      <c r="AH3" s="175"/>
      <c r="AI3" s="175"/>
      <c r="AJ3" s="175"/>
      <c r="AK3" s="175"/>
      <c r="AL3" s="175"/>
      <c r="AM3" s="175"/>
      <c r="AN3" s="175"/>
    </row>
    <row r="4" spans="1:47" ht="13.5" customHeight="1" thickBot="1" x14ac:dyDescent="0.3">
      <c r="B4" s="292" t="s">
        <v>17</v>
      </c>
      <c r="C4" s="289" t="str">
        <f>Personnel!C4</f>
        <v>Sept</v>
      </c>
      <c r="D4" s="176">
        <f>Personnel!C5</f>
        <v>2022</v>
      </c>
      <c r="E4" s="175">
        <f>VLOOKUP($C4,'Lookup Tables'!$A$22:$B$33,2,FALSE)</f>
        <v>3</v>
      </c>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row>
    <row r="5" spans="1:47" ht="13.5" customHeight="1" x14ac:dyDescent="0.25">
      <c r="B5" s="270" t="s">
        <v>18</v>
      </c>
      <c r="C5" s="273">
        <f>Personnel!E4</f>
        <v>12</v>
      </c>
      <c r="D5" s="177"/>
      <c r="E5" s="177"/>
      <c r="F5" s="177"/>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row>
    <row r="6" spans="1:47" ht="13.5" customHeight="1" x14ac:dyDescent="0.25">
      <c r="B6" s="270"/>
      <c r="C6" s="270"/>
      <c r="D6" s="177"/>
      <c r="E6" s="177"/>
      <c r="F6" s="177"/>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row>
    <row r="7" spans="1:47" ht="30" customHeight="1" x14ac:dyDescent="0.3">
      <c r="A7" s="260" t="s">
        <v>340</v>
      </c>
      <c r="B7" s="293"/>
      <c r="C7" s="290"/>
      <c r="D7" s="261"/>
      <c r="E7" s="261"/>
      <c r="F7" s="261"/>
      <c r="G7" s="261"/>
      <c r="H7" s="261"/>
      <c r="I7" s="261"/>
      <c r="J7" s="261"/>
      <c r="K7" s="261"/>
      <c r="L7" s="261"/>
      <c r="M7" s="261"/>
      <c r="N7" s="261"/>
      <c r="O7" s="261"/>
      <c r="P7" s="261"/>
      <c r="Q7" s="261"/>
      <c r="R7" s="261"/>
      <c r="S7" s="261"/>
      <c r="T7" s="261"/>
      <c r="U7" s="610"/>
      <c r="V7" s="261"/>
      <c r="W7" s="261"/>
      <c r="X7" s="261"/>
      <c r="Y7" s="261"/>
      <c r="Z7" s="261"/>
      <c r="AA7" s="261"/>
      <c r="AB7" s="261"/>
      <c r="AC7" s="261"/>
      <c r="AD7" s="261"/>
      <c r="AE7" s="261"/>
      <c r="AF7" s="261"/>
      <c r="AG7" s="261"/>
      <c r="AH7" s="261"/>
      <c r="AI7" s="261"/>
      <c r="AJ7" s="261"/>
      <c r="AK7" s="261"/>
      <c r="AL7" s="261"/>
      <c r="AM7" s="261"/>
      <c r="AN7" s="261"/>
      <c r="AO7" s="305"/>
      <c r="AP7" s="262"/>
      <c r="AQ7" s="262"/>
      <c r="AR7" s="262"/>
      <c r="AS7" s="371" t="s">
        <v>410</v>
      </c>
      <c r="AU7" s="313"/>
    </row>
    <row r="8" spans="1:47" ht="13.5" customHeight="1" x14ac:dyDescent="0.25">
      <c r="A8" s="296" t="s">
        <v>174</v>
      </c>
      <c r="B8" s="162" t="s">
        <v>335</v>
      </c>
      <c r="C8" s="259" t="s">
        <v>605</v>
      </c>
      <c r="D8" s="178"/>
      <c r="E8" s="178"/>
      <c r="F8" s="178"/>
      <c r="G8" s="178"/>
      <c r="H8" s="178"/>
      <c r="I8" s="178"/>
      <c r="J8" s="178"/>
      <c r="K8" s="178"/>
      <c r="L8" s="178"/>
      <c r="M8" s="178"/>
      <c r="N8" s="493">
        <v>44013</v>
      </c>
      <c r="O8" s="493">
        <v>44377</v>
      </c>
      <c r="P8" s="178"/>
      <c r="Q8" s="178"/>
      <c r="R8" s="178"/>
      <c r="S8" s="178"/>
      <c r="T8" s="178"/>
      <c r="U8" s="178"/>
      <c r="V8" s="178"/>
      <c r="W8" s="178"/>
      <c r="X8" s="178"/>
      <c r="Y8" s="178"/>
      <c r="Z8" s="493">
        <v>44378</v>
      </c>
      <c r="AA8" s="493">
        <v>44742</v>
      </c>
      <c r="AB8" s="178"/>
      <c r="AC8" s="178"/>
      <c r="AD8" s="178"/>
      <c r="AE8" s="178"/>
      <c r="AF8" s="178"/>
      <c r="AG8" s="178"/>
      <c r="AH8" s="178"/>
      <c r="AI8" s="178"/>
      <c r="AJ8" s="178"/>
      <c r="AK8" s="493">
        <v>44743</v>
      </c>
      <c r="AL8" s="493">
        <v>45107</v>
      </c>
      <c r="AM8" s="178"/>
      <c r="AN8" s="178"/>
      <c r="AO8" s="227"/>
      <c r="AP8" s="12"/>
      <c r="AQ8" s="12"/>
      <c r="AR8" s="275"/>
      <c r="AS8" s="12"/>
      <c r="AU8" s="312"/>
    </row>
    <row r="9" spans="1:47" ht="13.5" customHeight="1" x14ac:dyDescent="0.25">
      <c r="A9" s="345">
        <f>Personnel!C10</f>
        <v>0</v>
      </c>
      <c r="B9" s="346" t="str">
        <f>Personnel!C9</f>
        <v>Faculty</v>
      </c>
      <c r="C9" s="353">
        <f>Personnel!C11</f>
        <v>0</v>
      </c>
      <c r="D9" s="178"/>
      <c r="E9" s="178"/>
      <c r="F9" s="178"/>
      <c r="G9" s="178"/>
      <c r="H9" s="178"/>
      <c r="I9" s="178"/>
      <c r="J9" s="178"/>
      <c r="K9" s="178"/>
      <c r="L9" s="178"/>
      <c r="M9" s="178"/>
      <c r="N9" s="178"/>
      <c r="O9" s="178">
        <v>22</v>
      </c>
      <c r="P9" s="178"/>
      <c r="Q9" s="178"/>
      <c r="R9" s="178"/>
      <c r="S9" s="178"/>
      <c r="T9" s="178"/>
      <c r="U9" s="178"/>
      <c r="V9" s="178"/>
      <c r="W9" s="178"/>
      <c r="X9" s="178"/>
      <c r="Y9" s="178"/>
      <c r="Z9" s="178"/>
      <c r="AA9" s="178">
        <v>23</v>
      </c>
      <c r="AB9" s="178"/>
      <c r="AC9" s="178"/>
      <c r="AD9" s="178"/>
      <c r="AE9" s="178"/>
      <c r="AF9" s="178"/>
      <c r="AG9" s="178"/>
      <c r="AH9" s="178"/>
      <c r="AI9" s="178"/>
      <c r="AJ9" s="178"/>
      <c r="AK9" s="178"/>
      <c r="AL9" s="178">
        <v>24</v>
      </c>
      <c r="AM9" s="178"/>
      <c r="AN9" s="178"/>
      <c r="AO9" s="306" t="s">
        <v>412</v>
      </c>
      <c r="AP9" s="348">
        <f>Personnel!G9</f>
        <v>0</v>
      </c>
      <c r="AQ9" s="276" t="s">
        <v>414</v>
      </c>
      <c r="AR9" s="277">
        <f>(N11+N13+Z11+Z13+AK11+AK13)*AP14</f>
        <v>0</v>
      </c>
      <c r="AS9" s="224"/>
      <c r="AU9" s="313"/>
    </row>
    <row r="10" spans="1:47" ht="13.5" customHeight="1" x14ac:dyDescent="0.25">
      <c r="A10" s="296"/>
      <c r="B10" s="116"/>
      <c r="C10" s="117" t="s">
        <v>597</v>
      </c>
      <c r="D10" s="178"/>
      <c r="E10" s="153" t="s">
        <v>16</v>
      </c>
      <c r="F10" s="153" t="s">
        <v>42</v>
      </c>
      <c r="G10" s="153" t="s">
        <v>41</v>
      </c>
      <c r="H10" s="183" t="s">
        <v>77</v>
      </c>
      <c r="I10" s="184" t="s">
        <v>90</v>
      </c>
      <c r="J10" s="185" t="s">
        <v>70</v>
      </c>
      <c r="K10" s="186" t="s">
        <v>577</v>
      </c>
      <c r="L10" s="153" t="s">
        <v>578</v>
      </c>
      <c r="M10" s="153" t="s">
        <v>82</v>
      </c>
      <c r="N10" s="153" t="s">
        <v>31</v>
      </c>
      <c r="O10" s="153" t="s">
        <v>69</v>
      </c>
      <c r="P10" s="153" t="s">
        <v>72</v>
      </c>
      <c r="Q10" s="183" t="s">
        <v>80</v>
      </c>
      <c r="R10" s="187" t="s">
        <v>81</v>
      </c>
      <c r="S10" s="183" t="s">
        <v>77</v>
      </c>
      <c r="T10" s="598" t="s">
        <v>83</v>
      </c>
      <c r="U10" s="185" t="s">
        <v>70</v>
      </c>
      <c r="V10" s="153" t="s">
        <v>91</v>
      </c>
      <c r="W10" s="153" t="s">
        <v>43</v>
      </c>
      <c r="X10" s="153" t="s">
        <v>53</v>
      </c>
      <c r="Y10" s="153" t="s">
        <v>68</v>
      </c>
      <c r="Z10" s="153" t="s">
        <v>32</v>
      </c>
      <c r="AA10" s="153" t="s">
        <v>69</v>
      </c>
      <c r="AB10" s="153" t="s">
        <v>72</v>
      </c>
      <c r="AC10" s="153" t="s">
        <v>80</v>
      </c>
      <c r="AD10" s="187" t="s">
        <v>81</v>
      </c>
      <c r="AE10" s="183" t="s">
        <v>77</v>
      </c>
      <c r="AF10" s="185" t="s">
        <v>70</v>
      </c>
      <c r="AG10" s="153" t="s">
        <v>92</v>
      </c>
      <c r="AH10" s="153" t="s">
        <v>44</v>
      </c>
      <c r="AI10" s="153" t="s">
        <v>78</v>
      </c>
      <c r="AJ10" s="153" t="s">
        <v>68</v>
      </c>
      <c r="AK10" s="153" t="s">
        <v>33</v>
      </c>
      <c r="AL10" s="153" t="s">
        <v>69</v>
      </c>
      <c r="AM10" s="153"/>
      <c r="AN10" s="178"/>
      <c r="AO10" s="227"/>
      <c r="AP10" s="349"/>
      <c r="AQ10" s="227"/>
      <c r="AR10" s="275"/>
      <c r="AS10" s="12"/>
      <c r="AU10" s="313"/>
    </row>
    <row r="11" spans="1:47" ht="13.5" customHeight="1" x14ac:dyDescent="0.25">
      <c r="A11" s="296"/>
      <c r="B11" s="116"/>
      <c r="C11" s="115"/>
      <c r="D11" s="178"/>
      <c r="E11" s="189">
        <f>AP$9</f>
        <v>0</v>
      </c>
      <c r="F11" s="190">
        <f>IF($D$4=2022,1,0)</f>
        <v>1</v>
      </c>
      <c r="G11" s="178">
        <f>IF($B15="Yes",$C$5,$I15)</f>
        <v>12</v>
      </c>
      <c r="H11" s="191">
        <f>VLOOKUP($H$14,'Lookup Tables'!$A$22:$B$33,2,FALSE)</f>
        <v>3</v>
      </c>
      <c r="I11" s="192">
        <f>VLOOKUP($E$4,'Lookup Tables'!$AB$46:$AN$58,MATCH($H11,'Lookup Tables'!$AB$46:$AN$46),FALSE)</f>
        <v>12</v>
      </c>
      <c r="J11" s="585">
        <f>VLOOKUP(H11,'Lookup Tables'!$A$3:$AA$16,MATCH(PersonCalcYr1!$G$11,'Lookup Tables'!$A$3:$AA$3),FALSE)</f>
        <v>1.5161</v>
      </c>
      <c r="K11" s="194">
        <f>VLOOKUP(H14,'Lookup Tables'!$K$23:$L$34,2,FALSE)</f>
        <v>0</v>
      </c>
      <c r="L11" s="178">
        <f>IF(G11&lt;=K11,G11,K11)</f>
        <v>0</v>
      </c>
      <c r="M11" s="195">
        <f>IF(12-I11&gt;=1,1,0)</f>
        <v>0</v>
      </c>
      <c r="N11" s="196">
        <f>(('Rate Tables'!B4*PersonCalcYr1!E11)*PersonCalcYr1!L11)*PersonCalcYr1!F11*M11</f>
        <v>0</v>
      </c>
      <c r="O11" s="197">
        <f>G11-((J11+L11)*M11)</f>
        <v>12</v>
      </c>
      <c r="P11" s="197">
        <f>IF(O11&lt;0,O11*0,1)*O11</f>
        <v>12</v>
      </c>
      <c r="Q11" s="198">
        <f>H11+(L11*M11)+(J11*M11)</f>
        <v>3</v>
      </c>
      <c r="R11" s="199" t="str">
        <f>VLOOKUP(Q11,'Lookup Tables'!$A$38:$B$151,2,FALSE)</f>
        <v>Sept</v>
      </c>
      <c r="S11" s="191">
        <f>VLOOKUP(R11,'Lookup Tables'!$A$22:$B$33,2,FALSE)</f>
        <v>3</v>
      </c>
      <c r="T11" s="634">
        <f>VLOOKUP($E$4,'Lookup Tables'!$AB$63:$AN$75,MATCH(PersonCalcYr1!$S11,'Lookup Tables'!$AB$63:$AN$63),FALSE)</f>
        <v>0.5161</v>
      </c>
      <c r="U11" s="200">
        <f>VLOOKUP(S11,'Lookup Tables'!$A$3:$AA$16,MATCH(PersonCalcYr1!$P11,'Lookup Tables'!$A$3:$AA$3),FALSE)</f>
        <v>1.5161</v>
      </c>
      <c r="V11" s="633">
        <f>9-T11</f>
        <v>8.4839000000000002</v>
      </c>
      <c r="W11" s="589">
        <f>P11-U11</f>
        <v>10.4839</v>
      </c>
      <c r="X11" s="590">
        <f>IF(V11&lt;=W11,V11,W11)</f>
        <v>8.4839000000000002</v>
      </c>
      <c r="Y11" s="195">
        <f>IF(12-T11-U11-X11&gt;=0,1,0)</f>
        <v>1</v>
      </c>
      <c r="Z11" s="202">
        <f>((('Rate Tables'!C4*$E11)*PersonCalcYr1!$X11)*$F11)*Y11</f>
        <v>0</v>
      </c>
      <c r="AA11" s="197">
        <f>O11-(((U11*U15)+X11)*Y11)</f>
        <v>2</v>
      </c>
      <c r="AB11" s="197">
        <f>IF(AA11&lt;0,AA11*0,1)*AA11</f>
        <v>2</v>
      </c>
      <c r="AC11" s="203">
        <f>S11+(X11*Y11)+((U11*U15)*Y11)</f>
        <v>13</v>
      </c>
      <c r="AD11" s="199" t="str">
        <f>VLOOKUP(AC11,'Lookup Tables'!$A$38:$B$151,2,FALSE)</f>
        <v>July</v>
      </c>
      <c r="AE11" s="191">
        <f>VLOOKUP(AD11,'Lookup Tables'!$A$22:$B$33,2,FALSE)</f>
        <v>1</v>
      </c>
      <c r="AF11" s="200">
        <f>VLOOKUP(AE11,'Lookup Tables'!$A$3:$AA$16,MATCH(PersonCalcYr1!AB11,'Lookup Tables'!$A$3:$AA$3),FALSE)</f>
        <v>1.4839</v>
      </c>
      <c r="AG11" s="178">
        <v>9</v>
      </c>
      <c r="AH11" s="201">
        <f>AB11-AF11</f>
        <v>0.5161</v>
      </c>
      <c r="AI11" s="195">
        <f>IF(AG11&lt;=AH11,AG11,AH11)</f>
        <v>0.5161</v>
      </c>
      <c r="AJ11" s="195">
        <f>IF((AG11+AF11)&lt;=0,0,1)</f>
        <v>1</v>
      </c>
      <c r="AK11" s="204">
        <f>((('Rate Tables'!D4*$E11)*PersonCalcYr1!AI11)*$F11)*AJ11</f>
        <v>0</v>
      </c>
      <c r="AL11" s="197">
        <f>AB11-AF11-AI11</f>
        <v>0</v>
      </c>
      <c r="AM11" s="197"/>
      <c r="AN11" s="178"/>
      <c r="AO11" s="227"/>
      <c r="AP11" s="350"/>
      <c r="AQ11" s="227"/>
      <c r="AR11" s="275"/>
      <c r="AS11" s="12"/>
      <c r="AU11" s="313"/>
    </row>
    <row r="12" spans="1:47" ht="13.5" customHeight="1" x14ac:dyDescent="0.25">
      <c r="A12" s="296"/>
      <c r="B12" s="116"/>
      <c r="C12" s="117" t="s">
        <v>597</v>
      </c>
      <c r="D12" s="178"/>
      <c r="E12" s="153" t="s">
        <v>16</v>
      </c>
      <c r="F12" s="153" t="s">
        <v>42</v>
      </c>
      <c r="G12" s="153" t="s">
        <v>41</v>
      </c>
      <c r="H12" s="183" t="s">
        <v>77</v>
      </c>
      <c r="I12" s="184" t="s">
        <v>90</v>
      </c>
      <c r="J12" s="185" t="s">
        <v>70</v>
      </c>
      <c r="K12" s="186" t="s">
        <v>577</v>
      </c>
      <c r="L12" s="153" t="s">
        <v>578</v>
      </c>
      <c r="M12" s="153" t="s">
        <v>82</v>
      </c>
      <c r="N12" s="153" t="s">
        <v>32</v>
      </c>
      <c r="O12" s="153" t="s">
        <v>69</v>
      </c>
      <c r="P12" s="153" t="s">
        <v>72</v>
      </c>
      <c r="Q12" s="183" t="s">
        <v>80</v>
      </c>
      <c r="R12" s="187" t="s">
        <v>81</v>
      </c>
      <c r="S12" s="183" t="s">
        <v>77</v>
      </c>
      <c r="T12" s="598" t="s">
        <v>83</v>
      </c>
      <c r="U12" s="185" t="s">
        <v>70</v>
      </c>
      <c r="V12" s="153" t="s">
        <v>92</v>
      </c>
      <c r="W12" s="153" t="s">
        <v>44</v>
      </c>
      <c r="X12" s="153" t="s">
        <v>78</v>
      </c>
      <c r="Y12" s="153" t="s">
        <v>68</v>
      </c>
      <c r="Z12" s="153" t="s">
        <v>33</v>
      </c>
      <c r="AA12" s="153" t="s">
        <v>69</v>
      </c>
      <c r="AB12" s="153" t="s">
        <v>72</v>
      </c>
      <c r="AC12" s="153" t="s">
        <v>80</v>
      </c>
      <c r="AD12" s="187" t="s">
        <v>81</v>
      </c>
      <c r="AE12" s="183" t="s">
        <v>77</v>
      </c>
      <c r="AF12" s="185" t="s">
        <v>70</v>
      </c>
      <c r="AG12" s="153" t="s">
        <v>94</v>
      </c>
      <c r="AH12" s="153" t="s">
        <v>45</v>
      </c>
      <c r="AI12" s="153" t="s">
        <v>79</v>
      </c>
      <c r="AJ12" s="153" t="s">
        <v>68</v>
      </c>
      <c r="AK12" s="153" t="s">
        <v>34</v>
      </c>
      <c r="AL12" s="153" t="s">
        <v>69</v>
      </c>
      <c r="AM12" s="153"/>
      <c r="AN12" s="178"/>
      <c r="AO12" s="227"/>
      <c r="AP12" s="351"/>
      <c r="AQ12" s="227"/>
      <c r="AR12" s="275"/>
      <c r="AS12" s="12"/>
      <c r="AU12" s="313"/>
    </row>
    <row r="13" spans="1:47" ht="13.5" customHeight="1" x14ac:dyDescent="0.25">
      <c r="A13" s="296"/>
      <c r="B13" s="116"/>
      <c r="C13" s="115"/>
      <c r="D13" s="178"/>
      <c r="E13" s="189">
        <f>AP$9</f>
        <v>0</v>
      </c>
      <c r="F13" s="190">
        <f>IF($D$4=2023,1,0)</f>
        <v>0</v>
      </c>
      <c r="G13" s="178">
        <f>IF($B15="Yes",$C$5,$I15)</f>
        <v>12</v>
      </c>
      <c r="H13" s="191">
        <f>VLOOKUP($H$14,'Lookup Tables'!$A$22:$B$33,2,FALSE)</f>
        <v>3</v>
      </c>
      <c r="I13" s="192">
        <f>VLOOKUP($E$4,'Lookup Tables'!$AB$46:$AN$58,MATCH($H13,'Lookup Tables'!$AB$46:$AN$46),FALSE)</f>
        <v>12</v>
      </c>
      <c r="J13" s="193">
        <f>VLOOKUP(H13,'Lookup Tables'!$A$3:$AA$16,MATCH(PersonCalcYr1!$G13,'Lookup Tables'!$A$3:$AA$3),FALSE)</f>
        <v>1.5161</v>
      </c>
      <c r="K13" s="194">
        <f>VLOOKUP(H14,'Lookup Tables'!$K$23:$L$34,2,FALSE)</f>
        <v>0</v>
      </c>
      <c r="L13" s="178">
        <f>IF(G13&lt;=K13,G13,K13)</f>
        <v>0</v>
      </c>
      <c r="M13" s="195">
        <f>IF(12-I13&gt;=1,1,0)</f>
        <v>0</v>
      </c>
      <c r="N13" s="196">
        <f>(('Rate Tables'!C4*PersonCalcYr1!E13)*PersonCalcYr1!L13)*PersonCalcYr1!F13*M13</f>
        <v>0</v>
      </c>
      <c r="O13" s="197">
        <f>G13-((J13+L13)*M13)</f>
        <v>12</v>
      </c>
      <c r="P13" s="197">
        <f>IF(O13&lt;0,O13*0,1)*O13</f>
        <v>12</v>
      </c>
      <c r="Q13" s="198">
        <f>H13+(L13*M13)+(J13*M13)</f>
        <v>3</v>
      </c>
      <c r="R13" s="199" t="str">
        <f>VLOOKUP(Q13,'Lookup Tables'!$A$38:$B$151,2,FALSE)</f>
        <v>Sept</v>
      </c>
      <c r="S13" s="191">
        <f>VLOOKUP(R13,'Lookup Tables'!$A$22:$B$33,2,FALSE)</f>
        <v>3</v>
      </c>
      <c r="T13" s="599">
        <f>VLOOKUP($E$4,'Lookup Tables'!$AB$63:$AN$75,MATCH(PersonCalcYr1!$S13,'Lookup Tables'!$AB$63:$AN$63),FALSE)</f>
        <v>0.5161</v>
      </c>
      <c r="U13" s="200">
        <f>VLOOKUP(S13,'Lookup Tables'!$A$3:$AA$16,MATCH(PersonCalcYr1!$P13,'Lookup Tables'!$A$3:$AA$3),FALSE)</f>
        <v>1.5161</v>
      </c>
      <c r="V13" s="496">
        <f>9-T13</f>
        <v>8.4839000000000002</v>
      </c>
      <c r="W13" s="201">
        <f>P13-U13</f>
        <v>10.4839</v>
      </c>
      <c r="X13" s="590">
        <f>IF(V13&lt;=W13,V13,W13)</f>
        <v>8.4839000000000002</v>
      </c>
      <c r="Y13" s="195">
        <f>IF(12-T13-U13-X13&gt;=0,1,0)</f>
        <v>1</v>
      </c>
      <c r="Z13" s="202">
        <f>((('Rate Tables'!D4*$E13)*PersonCalcYr1!$X13)*$F13)*Y13</f>
        <v>0</v>
      </c>
      <c r="AA13" s="197">
        <f>O13-(((U13*U15)+X13)*Y13)</f>
        <v>2</v>
      </c>
      <c r="AB13" s="197">
        <f>IF(AA13&lt;0,AA13*0,1)*AA13</f>
        <v>2</v>
      </c>
      <c r="AC13" s="601">
        <f>S13+(X13*Y13)+((U13*U15)*Y13)</f>
        <v>13</v>
      </c>
      <c r="AD13" s="199" t="str">
        <f>VLOOKUP(AC13,'Lookup Tables'!$A$38:$B$151,2,FALSE)</f>
        <v>July</v>
      </c>
      <c r="AE13" s="191">
        <f>VLOOKUP(AD13,'Lookup Tables'!$A$22:$B$33,2,FALSE)</f>
        <v>1</v>
      </c>
      <c r="AF13" s="200">
        <f>VLOOKUP(AE13,'Lookup Tables'!$A$3:$AA$16,MATCH(PersonCalcYr1!AB13,'Lookup Tables'!$A$3:$AA$3),FALSE)</f>
        <v>1.4839</v>
      </c>
      <c r="AG13" s="178">
        <v>9</v>
      </c>
      <c r="AH13" s="201">
        <f>AB13-AF13</f>
        <v>0.5161</v>
      </c>
      <c r="AI13" s="195">
        <f>IF(AG13&lt;=AH13,AG13,AH13)</f>
        <v>0.5161</v>
      </c>
      <c r="AJ13" s="195">
        <f>IF((AG13+AF13)&lt;=0,0,1)</f>
        <v>1</v>
      </c>
      <c r="AK13" s="204">
        <f>((('Rate Tables'!E4*$E13)*PersonCalcYr1!AI13)*$F13)*AJ13</f>
        <v>0</v>
      </c>
      <c r="AL13" s="197">
        <f>AB13-AF13-AI13</f>
        <v>0</v>
      </c>
      <c r="AM13" s="197"/>
      <c r="AN13" s="178"/>
      <c r="AO13" s="227"/>
      <c r="AP13" s="349"/>
      <c r="AQ13" s="227"/>
      <c r="AR13" s="275"/>
      <c r="AS13" s="12"/>
      <c r="AU13" s="313"/>
    </row>
    <row r="14" spans="1:47" ht="13.5" customHeight="1" x14ac:dyDescent="0.25">
      <c r="A14" s="296"/>
      <c r="B14" s="116"/>
      <c r="C14" s="115"/>
      <c r="D14" s="178"/>
      <c r="E14" s="205"/>
      <c r="F14" s="190"/>
      <c r="G14" s="178" t="s">
        <v>430</v>
      </c>
      <c r="H14" s="178" t="str">
        <f>IF(B15="yes",$C$4,A22)</f>
        <v>Sept</v>
      </c>
      <c r="I14" s="178"/>
      <c r="J14" s="178"/>
      <c r="K14" s="178"/>
      <c r="L14" s="178"/>
      <c r="M14" s="206"/>
      <c r="N14" s="207"/>
      <c r="O14" s="208"/>
      <c r="P14" s="190"/>
      <c r="Q14" s="190"/>
      <c r="R14" s="190"/>
      <c r="S14" s="190"/>
      <c r="T14" s="190"/>
      <c r="U14" s="178"/>
      <c r="V14" s="201"/>
      <c r="W14" s="201"/>
      <c r="X14" s="178"/>
      <c r="Y14" s="206"/>
      <c r="Z14" s="207"/>
      <c r="AA14" s="208"/>
      <c r="AB14" s="202"/>
      <c r="AC14" s="202"/>
      <c r="AD14" s="202"/>
      <c r="AE14" s="202"/>
      <c r="AF14" s="203"/>
      <c r="AG14" s="201"/>
      <c r="AH14" s="201"/>
      <c r="AI14" s="178"/>
      <c r="AJ14" s="206"/>
      <c r="AK14" s="207"/>
      <c r="AL14" s="208"/>
      <c r="AM14" s="202"/>
      <c r="AN14" s="178"/>
      <c r="AO14" s="307" t="s">
        <v>450</v>
      </c>
      <c r="AP14" s="349">
        <f>IF(B9=0,0,1)</f>
        <v>1</v>
      </c>
      <c r="AQ14" s="227"/>
      <c r="AR14" s="275"/>
      <c r="AS14" s="12"/>
      <c r="AU14" s="313"/>
    </row>
    <row r="15" spans="1:47" ht="13.5" customHeight="1" x14ac:dyDescent="0.25">
      <c r="A15" s="37" t="s">
        <v>431</v>
      </c>
      <c r="B15" s="375" t="str">
        <f>Personnel!E9</f>
        <v>YES</v>
      </c>
      <c r="C15" s="115"/>
      <c r="D15" s="178"/>
      <c r="E15" s="205"/>
      <c r="F15" s="190"/>
      <c r="G15" s="491" t="s">
        <v>555</v>
      </c>
      <c r="H15" s="175">
        <f>IF(H16&lt;$C$5, H16,$C$5)</f>
        <v>12</v>
      </c>
      <c r="I15" s="178">
        <f>IF(B22&lt;=H15,B22,H15)</f>
        <v>0</v>
      </c>
      <c r="J15" s="178"/>
      <c r="K15" s="178"/>
      <c r="L15" s="178"/>
      <c r="M15" s="178"/>
      <c r="N15" s="178"/>
      <c r="O15" s="178"/>
      <c r="P15" s="190"/>
      <c r="Q15" s="190"/>
      <c r="R15" s="190"/>
      <c r="S15" s="190"/>
      <c r="T15" s="605" t="s">
        <v>573</v>
      </c>
      <c r="U15" s="606">
        <f>VLOOKUP($E$4,'Lookup Tables'!$L$79:$X$91,MATCH(PersonCalcYr1!$S11,'Lookup Tables'!$L$79:$X$79),FALSE)</f>
        <v>1</v>
      </c>
      <c r="V15" s="201"/>
      <c r="W15" s="201"/>
      <c r="X15" s="201"/>
      <c r="Y15" s="195"/>
      <c r="Z15" s="195"/>
      <c r="AA15" s="202"/>
      <c r="AB15" s="202"/>
      <c r="AC15" s="202"/>
      <c r="AD15" s="202"/>
      <c r="AE15" s="202"/>
      <c r="AF15" s="203"/>
      <c r="AG15" s="201"/>
      <c r="AH15" s="201"/>
      <c r="AI15" s="201"/>
      <c r="AJ15" s="201"/>
      <c r="AK15" s="202"/>
      <c r="AL15" s="202"/>
      <c r="AM15" s="202"/>
      <c r="AN15" s="178"/>
      <c r="AO15" s="370" t="s">
        <v>411</v>
      </c>
      <c r="AP15" s="352">
        <f>Personnel!G10</f>
        <v>10</v>
      </c>
      <c r="AQ15" s="276" t="s">
        <v>117</v>
      </c>
      <c r="AR15" s="277">
        <f>(N18+W18+AJ18+N20+W20+AJ20)*AP14</f>
        <v>0</v>
      </c>
      <c r="AS15" s="224"/>
      <c r="AU15" s="313"/>
    </row>
    <row r="16" spans="1:47" ht="13.5" customHeight="1" x14ac:dyDescent="0.25">
      <c r="A16" s="296" t="s">
        <v>439</v>
      </c>
      <c r="B16" s="114" t="s">
        <v>427</v>
      </c>
      <c r="C16" s="114"/>
      <c r="D16" s="178"/>
      <c r="E16" s="178"/>
      <c r="F16" s="178"/>
      <c r="G16" s="178"/>
      <c r="H16" s="175">
        <f>VLOOKUP($E$4,'Lookup Tables'!$L$46:$AA$58,MATCH($H$11,'Lookup Tables'!$L$46:$X$46),FALSE)</f>
        <v>12</v>
      </c>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227"/>
      <c r="AP16" s="12"/>
      <c r="AQ16" s="278" t="s">
        <v>96</v>
      </c>
      <c r="AR16" s="279">
        <f>AR9+AR15</f>
        <v>0</v>
      </c>
      <c r="AS16" s="369"/>
      <c r="AU16" s="313"/>
    </row>
    <row r="17" spans="1:47" ht="13.5" customHeight="1" x14ac:dyDescent="0.25">
      <c r="A17" s="296"/>
      <c r="B17" s="116"/>
      <c r="C17" s="117" t="s">
        <v>30</v>
      </c>
      <c r="D17" s="178"/>
      <c r="E17" s="153" t="s">
        <v>84</v>
      </c>
      <c r="F17" s="153" t="s">
        <v>42</v>
      </c>
      <c r="G17" s="153" t="s">
        <v>41</v>
      </c>
      <c r="H17" s="183" t="s">
        <v>77</v>
      </c>
      <c r="I17" s="209" t="s">
        <v>101</v>
      </c>
      <c r="J17" s="210" t="s">
        <v>102</v>
      </c>
      <c r="K17" s="153" t="s">
        <v>98</v>
      </c>
      <c r="L17" s="153" t="s">
        <v>100</v>
      </c>
      <c r="M17" s="153" t="s">
        <v>82</v>
      </c>
      <c r="N17" s="153" t="s">
        <v>31</v>
      </c>
      <c r="O17" s="153" t="s">
        <v>69</v>
      </c>
      <c r="P17" s="153" t="s">
        <v>72</v>
      </c>
      <c r="Q17" s="153" t="s">
        <v>103</v>
      </c>
      <c r="R17" s="183" t="s">
        <v>77</v>
      </c>
      <c r="S17" s="209" t="s">
        <v>101</v>
      </c>
      <c r="T17" s="210" t="s">
        <v>102</v>
      </c>
      <c r="U17" s="178" t="s">
        <v>98</v>
      </c>
      <c r="V17" s="153" t="s">
        <v>100</v>
      </c>
      <c r="W17" s="153" t="s">
        <v>32</v>
      </c>
      <c r="X17" s="153" t="s">
        <v>69</v>
      </c>
      <c r="Y17" s="153"/>
      <c r="Z17" s="153"/>
      <c r="AA17" s="178"/>
      <c r="AB17" s="153" t="s">
        <v>72</v>
      </c>
      <c r="AC17" s="153" t="s">
        <v>103</v>
      </c>
      <c r="AD17" s="153"/>
      <c r="AE17" s="183" t="s">
        <v>77</v>
      </c>
      <c r="AF17" s="209" t="s">
        <v>101</v>
      </c>
      <c r="AG17" s="210" t="s">
        <v>102</v>
      </c>
      <c r="AH17" s="178" t="s">
        <v>98</v>
      </c>
      <c r="AI17" s="153" t="s">
        <v>100</v>
      </c>
      <c r="AJ17" s="153" t="s">
        <v>33</v>
      </c>
      <c r="AK17" s="153" t="s">
        <v>69</v>
      </c>
      <c r="AL17" s="178"/>
      <c r="AM17" s="153"/>
      <c r="AN17" s="178"/>
      <c r="AO17" s="276" t="s">
        <v>95</v>
      </c>
      <c r="AP17" s="12"/>
      <c r="AQ17" s="227"/>
      <c r="AR17" s="275"/>
      <c r="AS17" s="12"/>
      <c r="AU17" s="313"/>
    </row>
    <row r="18" spans="1:47" ht="13.5" customHeight="1" x14ac:dyDescent="0.25">
      <c r="A18" s="296"/>
      <c r="B18" s="116"/>
      <c r="C18" s="115"/>
      <c r="D18" s="178"/>
      <c r="E18" s="211">
        <f>IF(H21&lt;=H22,H21,H22)</f>
        <v>10</v>
      </c>
      <c r="F18" s="190">
        <f>IF($D$4=2022,1,0)</f>
        <v>1</v>
      </c>
      <c r="G18" s="178">
        <f>IF($B$15="Yes",$C$5,$I15)</f>
        <v>12</v>
      </c>
      <c r="H18" s="191">
        <f>H11</f>
        <v>3</v>
      </c>
      <c r="I18" s="212">
        <f>VLOOKUP(J11,'Lookup Tables'!$AB$22:$AC$31,2,FALSE)</f>
        <v>32</v>
      </c>
      <c r="J18" s="213">
        <f>VLOOKUP(U11,'Lookup Tables'!$AB$32:$AC$41,2,FALSE)</f>
        <v>33</v>
      </c>
      <c r="K18" s="203">
        <f>E18-J18</f>
        <v>-23</v>
      </c>
      <c r="L18" s="178">
        <f>IF(K18&gt;0,1,0)</f>
        <v>0</v>
      </c>
      <c r="M18" s="195">
        <f>M11</f>
        <v>0</v>
      </c>
      <c r="N18" s="196">
        <f>((((('Rate Tables'!B4*9)*0.02778)/5)*K18)*L18)*F18*M18</f>
        <v>0</v>
      </c>
      <c r="O18" s="197">
        <f>O11</f>
        <v>12</v>
      </c>
      <c r="P18" s="197">
        <f>IF(O18&lt;0,O18*0,1)*O18</f>
        <v>12</v>
      </c>
      <c r="Q18" s="203">
        <f>(E18-K18*F18*L18*M18)</f>
        <v>10</v>
      </c>
      <c r="R18" s="191">
        <f>S11</f>
        <v>3</v>
      </c>
      <c r="S18" s="212">
        <f>VLOOKUP(U11,'Lookup Tables'!$AB$22:$AC$31,2,FALSE)</f>
        <v>32</v>
      </c>
      <c r="T18" s="213">
        <f>VLOOKUP(AF11,'Lookup Tables'!$AB$32:$AC$41,2,FALSE)</f>
        <v>33</v>
      </c>
      <c r="U18" s="206">
        <f>Q18-T18</f>
        <v>-23</v>
      </c>
      <c r="V18" s="178">
        <f>IF(U18&gt;0,1,0)</f>
        <v>0</v>
      </c>
      <c r="W18" s="196">
        <f>((('Rate Tables'!C4*9)*0.02778)/5)*U18*F18*V18</f>
        <v>0</v>
      </c>
      <c r="X18" s="197">
        <f>AA11</f>
        <v>2</v>
      </c>
      <c r="Y18" s="178"/>
      <c r="Z18" s="195"/>
      <c r="AA18" s="178"/>
      <c r="AB18" s="197">
        <f>IF(X18&lt;0,X18*0,1)*X18</f>
        <v>2</v>
      </c>
      <c r="AC18" s="203">
        <f>Q18-(U18*V18)</f>
        <v>10</v>
      </c>
      <c r="AD18" s="178"/>
      <c r="AE18" s="191">
        <f>AE11</f>
        <v>1</v>
      </c>
      <c r="AF18" s="212">
        <f>VLOOKUP(AF11,'Lookup Tables'!$AB$22:$AC$31,2,FALSE)</f>
        <v>32</v>
      </c>
      <c r="AG18" s="213">
        <v>0</v>
      </c>
      <c r="AH18" s="208">
        <f>AC18-AG18</f>
        <v>10</v>
      </c>
      <c r="AI18" s="178">
        <f>IF(AH18&gt;0,1,0)</f>
        <v>1</v>
      </c>
      <c r="AJ18" s="196">
        <f>((('Rate Tables'!D4*9)*0.02778)/5)*AH18*AI18*F18</f>
        <v>0</v>
      </c>
      <c r="AK18" s="197">
        <f>AL11</f>
        <v>0</v>
      </c>
      <c r="AL18" s="178"/>
      <c r="AM18" s="197"/>
      <c r="AN18" s="178"/>
      <c r="AO18" s="308">
        <f>AP15</f>
        <v>10</v>
      </c>
      <c r="AP18" s="225"/>
      <c r="AQ18" s="227"/>
      <c r="AR18" s="275"/>
      <c r="AS18" s="12" t="s">
        <v>418</v>
      </c>
      <c r="AU18" s="313"/>
    </row>
    <row r="19" spans="1:47" ht="13.5" customHeight="1" x14ac:dyDescent="0.25">
      <c r="A19" s="296"/>
      <c r="B19" s="116"/>
      <c r="C19" s="117" t="s">
        <v>597</v>
      </c>
      <c r="D19" s="178"/>
      <c r="E19" s="153" t="s">
        <v>84</v>
      </c>
      <c r="F19" s="153" t="s">
        <v>42</v>
      </c>
      <c r="G19" s="153" t="s">
        <v>41</v>
      </c>
      <c r="H19" s="183" t="s">
        <v>77</v>
      </c>
      <c r="I19" s="209" t="s">
        <v>105</v>
      </c>
      <c r="J19" s="210" t="s">
        <v>106</v>
      </c>
      <c r="K19" s="153" t="s">
        <v>99</v>
      </c>
      <c r="L19" s="153" t="s">
        <v>100</v>
      </c>
      <c r="M19" s="153" t="s">
        <v>82</v>
      </c>
      <c r="N19" s="153" t="s">
        <v>32</v>
      </c>
      <c r="O19" s="153" t="s">
        <v>69</v>
      </c>
      <c r="P19" s="153" t="s">
        <v>72</v>
      </c>
      <c r="Q19" s="153" t="s">
        <v>103</v>
      </c>
      <c r="R19" s="183" t="s">
        <v>77</v>
      </c>
      <c r="S19" s="209" t="s">
        <v>105</v>
      </c>
      <c r="T19" s="210" t="s">
        <v>106</v>
      </c>
      <c r="U19" s="178" t="s">
        <v>98</v>
      </c>
      <c r="V19" s="153" t="s">
        <v>100</v>
      </c>
      <c r="W19" s="153" t="s">
        <v>33</v>
      </c>
      <c r="X19" s="153" t="s">
        <v>69</v>
      </c>
      <c r="Y19" s="153"/>
      <c r="Z19" s="153"/>
      <c r="AA19" s="178"/>
      <c r="AB19" s="153" t="s">
        <v>72</v>
      </c>
      <c r="AC19" s="153" t="s">
        <v>104</v>
      </c>
      <c r="AD19" s="153"/>
      <c r="AE19" s="183" t="s">
        <v>77</v>
      </c>
      <c r="AF19" s="209" t="s">
        <v>105</v>
      </c>
      <c r="AG19" s="210" t="s">
        <v>106</v>
      </c>
      <c r="AH19" s="178" t="s">
        <v>98</v>
      </c>
      <c r="AI19" s="153" t="s">
        <v>100</v>
      </c>
      <c r="AJ19" s="153" t="s">
        <v>34</v>
      </c>
      <c r="AK19" s="153" t="s">
        <v>69</v>
      </c>
      <c r="AL19" s="178"/>
      <c r="AM19" s="178"/>
      <c r="AN19" s="178"/>
      <c r="AO19" s="227"/>
      <c r="AP19" s="224"/>
      <c r="AQ19" s="227" t="s">
        <v>451</v>
      </c>
      <c r="AR19" s="275">
        <f>(VLOOKUP($B9,'Rate Tables'!$O$2:$P$8,2,FALSE))</f>
        <v>0.2697</v>
      </c>
      <c r="AS19" s="372">
        <f>VLOOKUP('F&amp;ARatesCalc'!$B$1,'F&amp;ARatesCalc'!$A$3:$B$5,2,FALSE)</f>
        <v>0.56999999999999995</v>
      </c>
      <c r="AU19" s="313"/>
    </row>
    <row r="20" spans="1:47" ht="13.5" customHeight="1" x14ac:dyDescent="0.25">
      <c r="A20" s="296"/>
      <c r="B20" s="116"/>
      <c r="C20" s="115"/>
      <c r="D20" s="178"/>
      <c r="E20" s="211">
        <f>E18</f>
        <v>10</v>
      </c>
      <c r="F20" s="190">
        <f>IF($D$4=2023,1,0)</f>
        <v>0</v>
      </c>
      <c r="G20" s="178">
        <f>IF($B$15="Yes",$C$5,$I15)</f>
        <v>12</v>
      </c>
      <c r="H20" s="191">
        <f>H13</f>
        <v>3</v>
      </c>
      <c r="I20" s="212">
        <f>VLOOKUP(J13,'Lookup Tables'!$AB$22:$AC$31,2,FALSE)</f>
        <v>32</v>
      </c>
      <c r="J20" s="213">
        <f>VLOOKUP(U13,'Lookup Tables'!$AB$32:$AC$41,2,FALSE)</f>
        <v>33</v>
      </c>
      <c r="K20" s="203">
        <f>E20-J20</f>
        <v>-23</v>
      </c>
      <c r="L20" s="178">
        <f>IF(K20&gt;0,1,0)</f>
        <v>0</v>
      </c>
      <c r="M20" s="195">
        <f>M13</f>
        <v>0</v>
      </c>
      <c r="N20" s="196">
        <f>((((('Rate Tables'!C4*9)*0.02778)/5)*K20)*L20)*F20*M20</f>
        <v>0</v>
      </c>
      <c r="O20" s="197">
        <f>O13</f>
        <v>12</v>
      </c>
      <c r="P20" s="197">
        <f>IF(O20&lt;0,O20*0,1)*O20</f>
        <v>12</v>
      </c>
      <c r="Q20" s="203">
        <f>(E20-K20*F20*L20*M20)</f>
        <v>10</v>
      </c>
      <c r="R20" s="191">
        <f>S13</f>
        <v>3</v>
      </c>
      <c r="S20" s="212">
        <f>VLOOKUP(U13,'Lookup Tables'!$AB$22:$AC$31,2,FALSE)</f>
        <v>32</v>
      </c>
      <c r="T20" s="213">
        <f>VLOOKUP(AF13,'Lookup Tables'!$AB$32:$AC$41,2,FALSE)</f>
        <v>33</v>
      </c>
      <c r="U20" s="206">
        <f>Q20-T20</f>
        <v>-23</v>
      </c>
      <c r="V20" s="178">
        <f>IF(U20&gt;0,1,0)</f>
        <v>0</v>
      </c>
      <c r="W20" s="196">
        <f>((('Rate Tables'!D4*9)*0.02778)/5)*U20*F20*V20</f>
        <v>0</v>
      </c>
      <c r="X20" s="197">
        <f>AA13</f>
        <v>2</v>
      </c>
      <c r="Y20" s="178"/>
      <c r="Z20" s="195"/>
      <c r="AA20" s="178"/>
      <c r="AB20" s="197">
        <f>IF(X20&lt;0,X20*0,1)*X20</f>
        <v>2</v>
      </c>
      <c r="AC20" s="203">
        <f>Q20-(U20*V20)</f>
        <v>10</v>
      </c>
      <c r="AD20" s="178"/>
      <c r="AE20" s="191">
        <f>AE13</f>
        <v>1</v>
      </c>
      <c r="AF20" s="212">
        <f>VLOOKUP(AF13,'Lookup Tables'!$AB$22:$AC$31,2,FALSE)</f>
        <v>32</v>
      </c>
      <c r="AG20" s="213">
        <v>0</v>
      </c>
      <c r="AH20" s="208">
        <f>AC20-AG20</f>
        <v>10</v>
      </c>
      <c r="AI20" s="178">
        <f>IF(AH20&gt;0,1,0)</f>
        <v>1</v>
      </c>
      <c r="AJ20" s="196">
        <f>((('Rate Tables'!E4*9)*0.02778)/5)*AH20*AI20*F20</f>
        <v>0</v>
      </c>
      <c r="AK20" s="197">
        <f>AL13</f>
        <v>0</v>
      </c>
      <c r="AL20" s="178"/>
      <c r="AM20" s="178"/>
      <c r="AN20" s="178"/>
      <c r="AO20" s="227"/>
      <c r="AP20" s="12"/>
      <c r="AQ20" s="227" t="s">
        <v>452</v>
      </c>
      <c r="AR20" s="275">
        <f>_xlfn.IFNA(AR19,0)</f>
        <v>0.2697</v>
      </c>
      <c r="AS20" s="12" t="s">
        <v>417</v>
      </c>
      <c r="AU20" s="313"/>
    </row>
    <row r="21" spans="1:47" ht="13.5" customHeight="1" thickBot="1" x14ac:dyDescent="0.3">
      <c r="A21" s="296"/>
      <c r="B21" s="116"/>
      <c r="C21" s="114"/>
      <c r="D21" s="178"/>
      <c r="E21" s="178"/>
      <c r="F21" s="178"/>
      <c r="G21" s="491" t="s">
        <v>559</v>
      </c>
      <c r="H21" s="178">
        <f>AO18</f>
        <v>10</v>
      </c>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307"/>
      <c r="AP21" s="12"/>
      <c r="AQ21" s="227" t="s">
        <v>453</v>
      </c>
      <c r="AR21" s="275">
        <f>IF(AR20=0,0,AR19)</f>
        <v>0.2697</v>
      </c>
      <c r="AS21" s="12">
        <f>(AR16+AR22)*AS19</f>
        <v>0</v>
      </c>
      <c r="AU21" s="313"/>
    </row>
    <row r="22" spans="1:47" ht="13.5" customHeight="1" thickBot="1" x14ac:dyDescent="0.3">
      <c r="A22" s="390">
        <f>Personnel!E10</f>
        <v>0</v>
      </c>
      <c r="B22" s="273">
        <f>Personnel!E11</f>
        <v>0</v>
      </c>
      <c r="C22" s="114"/>
      <c r="D22" s="178"/>
      <c r="E22" s="178"/>
      <c r="F22" s="178"/>
      <c r="G22" s="491" t="s">
        <v>560</v>
      </c>
      <c r="H22" s="178">
        <f>VLOOKUP(H18,'Lookup Tables'!$L$62:$Y$74,MATCH(G18,'Lookup Tables'!$L$62:$Y$62,FALSE))</f>
        <v>65</v>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309"/>
      <c r="AP22" s="274"/>
      <c r="AQ22" s="278" t="s">
        <v>415</v>
      </c>
      <c r="AR22" s="279">
        <f>AR16*AR21</f>
        <v>0</v>
      </c>
      <c r="AS22" s="373">
        <f>AR16+AR22+AS21</f>
        <v>0</v>
      </c>
      <c r="AU22" s="313"/>
    </row>
    <row r="23" spans="1:47" ht="6" customHeight="1" thickBot="1" x14ac:dyDescent="0.3">
      <c r="A23" s="297"/>
      <c r="B23" s="149"/>
      <c r="C23" s="149"/>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80"/>
      <c r="AP23" s="149"/>
      <c r="AQ23" s="280"/>
      <c r="AR23" s="281"/>
      <c r="AS23" s="374"/>
    </row>
    <row r="24" spans="1:47" ht="13.5" customHeight="1" x14ac:dyDescent="0.25">
      <c r="A24" s="298" t="s">
        <v>174</v>
      </c>
      <c r="B24" s="294" t="s">
        <v>336</v>
      </c>
      <c r="C24" s="259" t="s">
        <v>605</v>
      </c>
      <c r="D24" s="181"/>
      <c r="E24" s="181"/>
      <c r="F24" s="181"/>
      <c r="G24" s="181"/>
      <c r="H24" s="181"/>
      <c r="I24" s="181"/>
      <c r="J24" s="181"/>
      <c r="K24" s="181"/>
      <c r="L24" s="181"/>
      <c r="M24" s="181"/>
      <c r="N24" s="181"/>
      <c r="O24" s="181">
        <v>21</v>
      </c>
      <c r="P24" s="181"/>
      <c r="Q24" s="181"/>
      <c r="R24" s="181"/>
      <c r="S24" s="181"/>
      <c r="T24" s="181"/>
      <c r="U24" s="181"/>
      <c r="V24" s="181"/>
      <c r="W24" s="181"/>
      <c r="X24" s="181"/>
      <c r="Y24" s="181"/>
      <c r="Z24" s="493">
        <v>44378</v>
      </c>
      <c r="AA24" s="493">
        <v>44742</v>
      </c>
      <c r="AB24" s="181"/>
      <c r="AC24" s="181"/>
      <c r="AD24" s="181"/>
      <c r="AE24" s="181"/>
      <c r="AF24" s="181"/>
      <c r="AG24" s="181"/>
      <c r="AH24" s="181"/>
      <c r="AI24" s="181"/>
      <c r="AJ24" s="181"/>
      <c r="AK24" s="181"/>
      <c r="AL24" s="181">
        <v>23</v>
      </c>
      <c r="AM24" s="181"/>
      <c r="AN24" s="181"/>
      <c r="AO24" s="282"/>
      <c r="AP24" s="144"/>
      <c r="AQ24" s="282"/>
      <c r="AR24" s="283"/>
      <c r="AS24" s="12"/>
      <c r="AU24" s="313"/>
    </row>
    <row r="25" spans="1:47" ht="13.5" customHeight="1" x14ac:dyDescent="0.25">
      <c r="A25" s="345">
        <f>Personnel!C16</f>
        <v>0</v>
      </c>
      <c r="B25" s="346" t="str">
        <f>Personnel!C15</f>
        <v>Faculty</v>
      </c>
      <c r="C25" s="347">
        <f>Personnel!C17</f>
        <v>0</v>
      </c>
      <c r="D25" s="178"/>
      <c r="E25" s="178"/>
      <c r="F25" s="178"/>
      <c r="G25" s="178"/>
      <c r="H25" s="178"/>
      <c r="I25" s="178"/>
      <c r="J25" s="178"/>
      <c r="K25" s="178"/>
      <c r="L25" s="178"/>
      <c r="M25" s="178"/>
      <c r="N25" s="178"/>
      <c r="O25" s="178">
        <v>22</v>
      </c>
      <c r="P25" s="178"/>
      <c r="Q25" s="178"/>
      <c r="R25" s="178"/>
      <c r="S25" s="178"/>
      <c r="T25" s="178"/>
      <c r="U25" s="178"/>
      <c r="V25" s="178"/>
      <c r="W25" s="178"/>
      <c r="X25" s="178"/>
      <c r="Y25" s="178"/>
      <c r="Z25" s="178"/>
      <c r="AA25" s="178">
        <v>23</v>
      </c>
      <c r="AB25" s="178"/>
      <c r="AC25" s="178"/>
      <c r="AD25" s="178"/>
      <c r="AE25" s="178"/>
      <c r="AF25" s="178"/>
      <c r="AG25" s="178"/>
      <c r="AH25" s="178"/>
      <c r="AI25" s="178"/>
      <c r="AJ25" s="178"/>
      <c r="AK25" s="178"/>
      <c r="AL25" s="178">
        <v>24</v>
      </c>
      <c r="AM25" s="178"/>
      <c r="AN25" s="178"/>
      <c r="AO25" s="306" t="s">
        <v>172</v>
      </c>
      <c r="AP25" s="348">
        <f>Personnel!G15</f>
        <v>0</v>
      </c>
      <c r="AQ25" s="276" t="s">
        <v>414</v>
      </c>
      <c r="AR25" s="277">
        <f>(N27+N29+Z27+Z29+AK27+AK29)*AP30</f>
        <v>0</v>
      </c>
      <c r="AS25" s="224"/>
      <c r="AU25" s="313"/>
    </row>
    <row r="26" spans="1:47" ht="13.5" customHeight="1" x14ac:dyDescent="0.25">
      <c r="A26" s="296"/>
      <c r="B26" s="116"/>
      <c r="C26" s="117" t="s">
        <v>30</v>
      </c>
      <c r="D26" s="178"/>
      <c r="E26" s="153" t="s">
        <v>16</v>
      </c>
      <c r="F26" s="153" t="s">
        <v>42</v>
      </c>
      <c r="G26" s="153" t="s">
        <v>41</v>
      </c>
      <c r="H26" s="183" t="s">
        <v>77</v>
      </c>
      <c r="I26" s="184" t="s">
        <v>90</v>
      </c>
      <c r="J26" s="185" t="s">
        <v>70</v>
      </c>
      <c r="K26" s="186" t="s">
        <v>93</v>
      </c>
      <c r="L26" s="153" t="s">
        <v>35</v>
      </c>
      <c r="M26" s="153" t="s">
        <v>82</v>
      </c>
      <c r="N26" s="153" t="s">
        <v>31</v>
      </c>
      <c r="O26" s="153" t="s">
        <v>69</v>
      </c>
      <c r="P26" s="153" t="s">
        <v>72</v>
      </c>
      <c r="Q26" s="183" t="s">
        <v>80</v>
      </c>
      <c r="R26" s="187" t="s">
        <v>81</v>
      </c>
      <c r="S26" s="183" t="s">
        <v>77</v>
      </c>
      <c r="T26" s="598" t="s">
        <v>83</v>
      </c>
      <c r="U26" s="185" t="s">
        <v>70</v>
      </c>
      <c r="V26" s="153" t="s">
        <v>91</v>
      </c>
      <c r="W26" s="153" t="s">
        <v>43</v>
      </c>
      <c r="X26" s="153" t="s">
        <v>53</v>
      </c>
      <c r="Y26" s="153" t="s">
        <v>68</v>
      </c>
      <c r="Z26" s="153" t="s">
        <v>32</v>
      </c>
      <c r="AA26" s="153" t="s">
        <v>69</v>
      </c>
      <c r="AB26" s="153" t="s">
        <v>72</v>
      </c>
      <c r="AC26" s="153" t="s">
        <v>80</v>
      </c>
      <c r="AD26" s="187" t="s">
        <v>81</v>
      </c>
      <c r="AE26" s="183" t="s">
        <v>77</v>
      </c>
      <c r="AF26" s="185" t="s">
        <v>70</v>
      </c>
      <c r="AG26" s="153" t="s">
        <v>92</v>
      </c>
      <c r="AH26" s="153" t="s">
        <v>44</v>
      </c>
      <c r="AI26" s="153" t="s">
        <v>78</v>
      </c>
      <c r="AJ26" s="153" t="s">
        <v>68</v>
      </c>
      <c r="AK26" s="153" t="s">
        <v>33</v>
      </c>
      <c r="AL26" s="153" t="s">
        <v>69</v>
      </c>
      <c r="AM26" s="153"/>
      <c r="AN26" s="178"/>
      <c r="AO26" s="227"/>
      <c r="AP26" s="349"/>
      <c r="AQ26" s="227"/>
      <c r="AR26" s="275"/>
      <c r="AS26" s="12"/>
    </row>
    <row r="27" spans="1:47" ht="13.5" customHeight="1" x14ac:dyDescent="0.25">
      <c r="A27" s="296"/>
      <c r="B27" s="116"/>
      <c r="C27" s="115"/>
      <c r="D27" s="178"/>
      <c r="E27" s="189">
        <f>AP25</f>
        <v>0</v>
      </c>
      <c r="F27" s="190">
        <f>IF($D$4=2022,1,0)</f>
        <v>1</v>
      </c>
      <c r="G27" s="178">
        <f>IF($B31="Yes",$C$5,$I31)</f>
        <v>12</v>
      </c>
      <c r="H27" s="191">
        <f>VLOOKUP(H30,'Lookup Tables'!$A$22:$B$33,2,FALSE)</f>
        <v>3</v>
      </c>
      <c r="I27" s="192">
        <f>VLOOKUP($E$4,'Lookup Tables'!$AB$46:$AN$58,MATCH($H27,'Lookup Tables'!$AB$46:$AN$46),FALSE)</f>
        <v>12</v>
      </c>
      <c r="J27" s="193">
        <f>VLOOKUP(H27,'Lookup Tables'!$A$3:$AA$16,MATCH(PersonCalcYr1!$G27,'Lookup Tables'!$A$3:$AA$3),FALSE)</f>
        <v>1.5161</v>
      </c>
      <c r="K27" s="194">
        <f>VLOOKUP(H30,'Lookup Tables'!$K$23:$L$34,2,FALSE)</f>
        <v>0</v>
      </c>
      <c r="L27" s="178">
        <f>IF(G27&lt;=K27,G27,K27)</f>
        <v>0</v>
      </c>
      <c r="M27" s="195">
        <f>IF(12-I27&gt;=1,1,0)</f>
        <v>0</v>
      </c>
      <c r="N27" s="196">
        <f>(('Rate Tables'!B9*PersonCalcYr1!E27)*PersonCalcYr1!L27)*PersonCalcYr1!F27*M27</f>
        <v>0</v>
      </c>
      <c r="O27" s="197">
        <f>G27-((J27+L27)*M27)</f>
        <v>12</v>
      </c>
      <c r="P27" s="197">
        <f>IF(O27&lt;0,O27*0,1)*O27</f>
        <v>12</v>
      </c>
      <c r="Q27" s="198">
        <f>H27+(L27*M27)+(J27*M27)</f>
        <v>3</v>
      </c>
      <c r="R27" s="199" t="str">
        <f>VLOOKUP(Q27,'Lookup Tables'!$A$38:$B$151,2,FALSE)</f>
        <v>Sept</v>
      </c>
      <c r="S27" s="191">
        <f>VLOOKUP(R27,'Lookup Tables'!$A$22:$B$33,2,FALSE)</f>
        <v>3</v>
      </c>
      <c r="T27" s="599">
        <f>VLOOKUP($E$4,'Lookup Tables'!$AB$63:$AN$75,MATCH(PersonCalcYr1!$S27,'Lookup Tables'!$AB$63:$AN$63),FALSE)</f>
        <v>0.5161</v>
      </c>
      <c r="U27" s="200">
        <f>VLOOKUP(S27,'Lookup Tables'!$A$3:$AA$16,MATCH(PersonCalcYr1!$P27,'Lookup Tables'!$A$3:$AA$3),FALSE)</f>
        <v>1.5161</v>
      </c>
      <c r="V27" s="496">
        <f>9-T27</f>
        <v>8.4839000000000002</v>
      </c>
      <c r="W27" s="201">
        <f>P27-U27</f>
        <v>10.4839</v>
      </c>
      <c r="X27" s="195">
        <f>IF(V27&lt;=W27,V27,W27)</f>
        <v>8.4839000000000002</v>
      </c>
      <c r="Y27" s="195">
        <f>IF(12-T27-U27-X27&gt;=0,1,0)</f>
        <v>1</v>
      </c>
      <c r="Z27" s="202">
        <f>((('Rate Tables'!C9*$E27)*PersonCalcYr1!$X27)*$F27)*Y27</f>
        <v>0</v>
      </c>
      <c r="AA27" s="197">
        <f>O27-(((U27*U31)+X27)*Y27)</f>
        <v>2</v>
      </c>
      <c r="AB27" s="197">
        <f>IF(AA27&lt;0,AA27*0,1)*AA27</f>
        <v>2</v>
      </c>
      <c r="AC27" s="601">
        <f>S27+(X27*Y27)+((U27*U31)*Y27)</f>
        <v>13</v>
      </c>
      <c r="AD27" s="199" t="str">
        <f>VLOOKUP(AC27,'Lookup Tables'!$A$38:$B$151,2,FALSE)</f>
        <v>July</v>
      </c>
      <c r="AE27" s="191">
        <f>VLOOKUP(AD27,'Lookup Tables'!$A$22:$B$33,2,FALSE)</f>
        <v>1</v>
      </c>
      <c r="AF27" s="200">
        <f>VLOOKUP(AE27,'Lookup Tables'!$A$3:$AA$16,MATCH(PersonCalcYr1!AB27,'Lookup Tables'!$A$3:$AA$3),FALSE)</f>
        <v>1.4839</v>
      </c>
      <c r="AG27" s="178">
        <v>9</v>
      </c>
      <c r="AH27" s="201">
        <f>AB27-AF27</f>
        <v>0.5161</v>
      </c>
      <c r="AI27" s="195">
        <f>IF(AG27&lt;=AH27,AG27,AH27)</f>
        <v>0.5161</v>
      </c>
      <c r="AJ27" s="195">
        <f>IF((AG27+AF27)&lt;=0,0,1)</f>
        <v>1</v>
      </c>
      <c r="AK27" s="204">
        <f>((('Rate Tables'!D9*$E27)*PersonCalcYr1!AI27)*$F27)*AJ27</f>
        <v>0</v>
      </c>
      <c r="AL27" s="197">
        <f>AB27-AF27-AI27</f>
        <v>0</v>
      </c>
      <c r="AM27" s="197"/>
      <c r="AN27" s="178"/>
      <c r="AO27" s="227"/>
      <c r="AP27" s="350"/>
      <c r="AQ27" s="227"/>
      <c r="AR27" s="275"/>
      <c r="AS27" s="12"/>
    </row>
    <row r="28" spans="1:47" ht="13.5" customHeight="1" x14ac:dyDescent="0.25">
      <c r="A28" s="296"/>
      <c r="B28" s="116"/>
      <c r="C28" s="117" t="s">
        <v>597</v>
      </c>
      <c r="D28" s="178"/>
      <c r="E28" s="153" t="s">
        <v>16</v>
      </c>
      <c r="F28" s="153" t="s">
        <v>42</v>
      </c>
      <c r="G28" s="153" t="s">
        <v>41</v>
      </c>
      <c r="H28" s="183" t="s">
        <v>77</v>
      </c>
      <c r="I28" s="184" t="s">
        <v>90</v>
      </c>
      <c r="J28" s="185" t="s">
        <v>70</v>
      </c>
      <c r="K28" s="186" t="s">
        <v>109</v>
      </c>
      <c r="L28" s="153" t="s">
        <v>53</v>
      </c>
      <c r="M28" s="153" t="s">
        <v>82</v>
      </c>
      <c r="N28" s="153" t="s">
        <v>32</v>
      </c>
      <c r="O28" s="153" t="s">
        <v>69</v>
      </c>
      <c r="P28" s="153" t="s">
        <v>72</v>
      </c>
      <c r="Q28" s="183" t="s">
        <v>80</v>
      </c>
      <c r="R28" s="187" t="s">
        <v>81</v>
      </c>
      <c r="S28" s="183" t="s">
        <v>77</v>
      </c>
      <c r="T28" s="598" t="s">
        <v>83</v>
      </c>
      <c r="U28" s="185" t="s">
        <v>70</v>
      </c>
      <c r="V28" s="153" t="s">
        <v>92</v>
      </c>
      <c r="W28" s="153" t="s">
        <v>44</v>
      </c>
      <c r="X28" s="153" t="s">
        <v>78</v>
      </c>
      <c r="Y28" s="153" t="s">
        <v>68</v>
      </c>
      <c r="Z28" s="153" t="s">
        <v>33</v>
      </c>
      <c r="AA28" s="153" t="s">
        <v>69</v>
      </c>
      <c r="AB28" s="153" t="s">
        <v>72</v>
      </c>
      <c r="AC28" s="153" t="s">
        <v>80</v>
      </c>
      <c r="AD28" s="187" t="s">
        <v>81</v>
      </c>
      <c r="AE28" s="183" t="s">
        <v>77</v>
      </c>
      <c r="AF28" s="185" t="s">
        <v>70</v>
      </c>
      <c r="AG28" s="153" t="s">
        <v>94</v>
      </c>
      <c r="AH28" s="153" t="s">
        <v>45</v>
      </c>
      <c r="AI28" s="153" t="s">
        <v>79</v>
      </c>
      <c r="AJ28" s="153" t="s">
        <v>68</v>
      </c>
      <c r="AK28" s="153" t="s">
        <v>34</v>
      </c>
      <c r="AL28" s="153" t="s">
        <v>69</v>
      </c>
      <c r="AM28" s="153"/>
      <c r="AN28" s="178"/>
      <c r="AO28" s="227"/>
      <c r="AP28" s="351"/>
      <c r="AQ28" s="227"/>
      <c r="AR28" s="275"/>
      <c r="AS28" s="12"/>
    </row>
    <row r="29" spans="1:47" ht="13.5" customHeight="1" x14ac:dyDescent="0.25">
      <c r="A29" s="296"/>
      <c r="B29" s="116"/>
      <c r="C29" s="115"/>
      <c r="D29" s="178"/>
      <c r="E29" s="189">
        <f>AP25</f>
        <v>0</v>
      </c>
      <c r="F29" s="190">
        <f>IF($D$4=2023,1,0)</f>
        <v>0</v>
      </c>
      <c r="G29" s="178">
        <f>IF($B31="Yes",$C$5,$I31)</f>
        <v>12</v>
      </c>
      <c r="H29" s="191">
        <f>VLOOKUP(H30,'Lookup Tables'!$A$22:$B$33,2,FALSE)</f>
        <v>3</v>
      </c>
      <c r="I29" s="192">
        <f>VLOOKUP($E$4,'Lookup Tables'!$AB$46:$AN$58,MATCH($H29,'Lookup Tables'!$AB$46:$AN$46),FALSE)</f>
        <v>12</v>
      </c>
      <c r="J29" s="193">
        <f>VLOOKUP(H29,'Lookup Tables'!$A$3:$AA$16,MATCH(PersonCalcYr1!$G29,'Lookup Tables'!$A$3:$AA$3),FALSE)</f>
        <v>1.5161</v>
      </c>
      <c r="K29" s="194">
        <f>VLOOKUP(H30,'Lookup Tables'!$K$23:$L$34,2,FALSE)</f>
        <v>0</v>
      </c>
      <c r="L29" s="178">
        <f>IF(G29&lt;=K29,G29,K29)</f>
        <v>0</v>
      </c>
      <c r="M29" s="195">
        <f>IF(12-I29&gt;=1,1,0)</f>
        <v>0</v>
      </c>
      <c r="N29" s="196">
        <f>(('Rate Tables'!C9*PersonCalcYr1!E29)*PersonCalcYr1!L29)*PersonCalcYr1!F29*M29</f>
        <v>0</v>
      </c>
      <c r="O29" s="197">
        <f>G29-((J29+L29)*M29)</f>
        <v>12</v>
      </c>
      <c r="P29" s="197">
        <f>IF(O29&lt;0,O29*0,1)*O29</f>
        <v>12</v>
      </c>
      <c r="Q29" s="198">
        <f>H29+(L29*M29)+(J29*M29)</f>
        <v>3</v>
      </c>
      <c r="R29" s="199" t="str">
        <f>VLOOKUP(Q29,'Lookup Tables'!$A$38:$B$151,2,FALSE)</f>
        <v>Sept</v>
      </c>
      <c r="S29" s="191">
        <f>VLOOKUP(R29,'Lookup Tables'!$A$22:$B$33,2,FALSE)</f>
        <v>3</v>
      </c>
      <c r="T29" s="599">
        <f>VLOOKUP($E$4,'Lookup Tables'!$AB$63:$AN$75,MATCH(PersonCalcYr1!$S29,'Lookup Tables'!$AB$63:$AN$63),FALSE)</f>
        <v>0.5161</v>
      </c>
      <c r="U29" s="200">
        <f>VLOOKUP(S29,'Lookup Tables'!$A$3:$AA$16,MATCH(PersonCalcYr1!$P29,'Lookup Tables'!$A$3:$AA$3),FALSE)</f>
        <v>1.5161</v>
      </c>
      <c r="V29" s="496">
        <f>9-T29</f>
        <v>8.4839000000000002</v>
      </c>
      <c r="W29" s="201">
        <f>P29-U29</f>
        <v>10.4839</v>
      </c>
      <c r="X29" s="195">
        <f>IF(V29&lt;=W29,V29,W29)</f>
        <v>8.4839000000000002</v>
      </c>
      <c r="Y29" s="195">
        <f>IF(12-T29-U29-X29&gt;=0,1,0)</f>
        <v>1</v>
      </c>
      <c r="Z29" s="202">
        <f>((('Rate Tables'!D9*$E29)*PersonCalcYr1!$X29)*$F29)*Y29</f>
        <v>0</v>
      </c>
      <c r="AA29" s="197">
        <f>O29-(((U29*U31)+X29)*Y29)</f>
        <v>2</v>
      </c>
      <c r="AB29" s="197">
        <f>IF(AA29&lt;0,AA29*0,1)*AA29</f>
        <v>2</v>
      </c>
      <c r="AC29" s="601">
        <f>S29+(X29*Y29)+((U29*U31)*Y29)</f>
        <v>13</v>
      </c>
      <c r="AD29" s="199" t="str">
        <f>VLOOKUP(AC29,'Lookup Tables'!$A$38:$B$151,2,FALSE)</f>
        <v>July</v>
      </c>
      <c r="AE29" s="191">
        <f>VLOOKUP(AD29,'Lookup Tables'!$A$22:$B$33,2,FALSE)</f>
        <v>1</v>
      </c>
      <c r="AF29" s="200">
        <f>VLOOKUP(AE29,'Lookup Tables'!$A$3:$AA$16,MATCH(PersonCalcYr1!AB29,'Lookup Tables'!$A$3:$AA$3),FALSE)</f>
        <v>1.4839</v>
      </c>
      <c r="AG29" s="178">
        <v>9</v>
      </c>
      <c r="AH29" s="201">
        <f>AB29-AF29</f>
        <v>0.5161</v>
      </c>
      <c r="AI29" s="195">
        <f>IF(AG29&lt;=AH29,AG29,AH29)</f>
        <v>0.5161</v>
      </c>
      <c r="AJ29" s="195">
        <f>IF((AG29+AF29)&lt;=0,0,1)</f>
        <v>1</v>
      </c>
      <c r="AK29" s="204">
        <f>((('Rate Tables'!E9*$E29)*PersonCalcYr1!AI29)*$F29)*AJ29</f>
        <v>0</v>
      </c>
      <c r="AL29" s="197">
        <f>AB29-AF29-AI29</f>
        <v>0</v>
      </c>
      <c r="AM29" s="197"/>
      <c r="AN29" s="178"/>
      <c r="AO29" s="227"/>
      <c r="AP29" s="349"/>
      <c r="AQ29" s="227"/>
      <c r="AR29" s="275"/>
      <c r="AS29" s="12"/>
    </row>
    <row r="30" spans="1:47" ht="13.5" customHeight="1" x14ac:dyDescent="0.25">
      <c r="A30" s="296"/>
      <c r="B30" s="116"/>
      <c r="C30" s="115"/>
      <c r="D30" s="178"/>
      <c r="E30" s="205"/>
      <c r="F30" s="190"/>
      <c r="G30" s="178" t="s">
        <v>430</v>
      </c>
      <c r="H30" s="178" t="str">
        <f>IF(B31="yes",$C$4,A38)</f>
        <v>Sept</v>
      </c>
      <c r="I30" s="178"/>
      <c r="J30" s="178"/>
      <c r="K30" s="178"/>
      <c r="L30" s="178"/>
      <c r="M30" s="206"/>
      <c r="N30" s="207"/>
      <c r="O30" s="208"/>
      <c r="P30" s="190"/>
      <c r="Q30" s="190"/>
      <c r="R30" s="190"/>
      <c r="S30" s="190"/>
      <c r="T30" s="190"/>
      <c r="U30" s="178"/>
      <c r="V30" s="201"/>
      <c r="W30" s="201"/>
      <c r="X30" s="178"/>
      <c r="Y30" s="206"/>
      <c r="Z30" s="207"/>
      <c r="AA30" s="208"/>
      <c r="AB30" s="202"/>
      <c r="AC30" s="202"/>
      <c r="AD30" s="202"/>
      <c r="AE30" s="202"/>
      <c r="AF30" s="203"/>
      <c r="AG30" s="201"/>
      <c r="AH30" s="201"/>
      <c r="AI30" s="178"/>
      <c r="AJ30" s="206"/>
      <c r="AK30" s="207"/>
      <c r="AL30" s="208"/>
      <c r="AM30" s="202"/>
      <c r="AN30" s="178"/>
      <c r="AO30" s="307" t="s">
        <v>450</v>
      </c>
      <c r="AP30" s="349">
        <f>IF(B25=0,0,1)</f>
        <v>1</v>
      </c>
      <c r="AQ30" s="227"/>
      <c r="AR30" s="275"/>
      <c r="AS30" s="12"/>
    </row>
    <row r="31" spans="1:47" ht="13.5" customHeight="1" x14ac:dyDescent="0.25">
      <c r="A31" s="37" t="s">
        <v>431</v>
      </c>
      <c r="B31" s="375" t="str">
        <f>Personnel!E15</f>
        <v>YES</v>
      </c>
      <c r="C31" s="115"/>
      <c r="D31" s="178"/>
      <c r="E31" s="205"/>
      <c r="F31" s="190"/>
      <c r="G31" s="491" t="s">
        <v>555</v>
      </c>
      <c r="H31" s="175">
        <f>IF(H32&lt;$C$5, H32,$C$5)</f>
        <v>12</v>
      </c>
      <c r="I31" s="178">
        <f>IF(B38&lt;=H32,B38,H32)</f>
        <v>0</v>
      </c>
      <c r="J31" s="178"/>
      <c r="K31" s="178"/>
      <c r="L31" s="178"/>
      <c r="M31" s="178"/>
      <c r="N31" s="178"/>
      <c r="O31" s="178"/>
      <c r="P31" s="190"/>
      <c r="Q31" s="190"/>
      <c r="R31" s="190"/>
      <c r="S31" s="190"/>
      <c r="T31" s="605" t="s">
        <v>573</v>
      </c>
      <c r="U31" s="606">
        <f>VLOOKUP($E$4,'Lookup Tables'!$L$79:$X$91,MATCH(PersonCalcYr1!$S27,'Lookup Tables'!$L$79:$X$79),FALSE)</f>
        <v>1</v>
      </c>
      <c r="V31" s="201"/>
      <c r="W31" s="201"/>
      <c r="X31" s="201"/>
      <c r="Y31" s="195"/>
      <c r="Z31" s="195"/>
      <c r="AA31" s="202"/>
      <c r="AB31" s="202"/>
      <c r="AC31" s="202"/>
      <c r="AD31" s="202"/>
      <c r="AE31" s="202"/>
      <c r="AF31" s="203"/>
      <c r="AG31" s="201"/>
      <c r="AH31" s="201"/>
      <c r="AI31" s="201"/>
      <c r="AJ31" s="201"/>
      <c r="AK31" s="202"/>
      <c r="AL31" s="202"/>
      <c r="AM31" s="202"/>
      <c r="AN31" s="178"/>
      <c r="AO31" s="370" t="s">
        <v>411</v>
      </c>
      <c r="AP31" s="352">
        <f>Personnel!G16</f>
        <v>10</v>
      </c>
      <c r="AQ31" s="276" t="s">
        <v>117</v>
      </c>
      <c r="AR31" s="277">
        <f>(N34+W34+AJ34+N36+W36+AJ36)*AP30</f>
        <v>0</v>
      </c>
      <c r="AS31" s="224"/>
    </row>
    <row r="32" spans="1:47" ht="13.5" customHeight="1" x14ac:dyDescent="0.25">
      <c r="A32" s="296" t="s">
        <v>439</v>
      </c>
      <c r="B32" s="114" t="s">
        <v>427</v>
      </c>
      <c r="C32" s="114"/>
      <c r="D32" s="178"/>
      <c r="E32" s="178"/>
      <c r="F32" s="178"/>
      <c r="G32" s="178"/>
      <c r="H32" s="175">
        <f>VLOOKUP($E$4,'Lookup Tables'!$L$46:$AA$58,MATCH($H$27,'Lookup Tables'!$L$46:$X$46),FALSE)</f>
        <v>12</v>
      </c>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227"/>
      <c r="AP32" s="12"/>
      <c r="AQ32" s="278" t="s">
        <v>96</v>
      </c>
      <c r="AR32" s="279">
        <f>AR25+AR31</f>
        <v>0</v>
      </c>
      <c r="AS32" s="369"/>
    </row>
    <row r="33" spans="1:45" ht="13.5" customHeight="1" x14ac:dyDescent="0.25">
      <c r="A33" s="296"/>
      <c r="B33" s="116"/>
      <c r="C33" s="117" t="s">
        <v>30</v>
      </c>
      <c r="D33" s="178"/>
      <c r="E33" s="153" t="s">
        <v>84</v>
      </c>
      <c r="F33" s="153" t="s">
        <v>42</v>
      </c>
      <c r="G33" s="153" t="s">
        <v>41</v>
      </c>
      <c r="H33" s="183" t="s">
        <v>77</v>
      </c>
      <c r="I33" s="209" t="s">
        <v>101</v>
      </c>
      <c r="J33" s="210" t="s">
        <v>102</v>
      </c>
      <c r="K33" s="153" t="s">
        <v>98</v>
      </c>
      <c r="L33" s="153" t="s">
        <v>100</v>
      </c>
      <c r="M33" s="153" t="s">
        <v>82</v>
      </c>
      <c r="N33" s="153" t="s">
        <v>31</v>
      </c>
      <c r="O33" s="153" t="s">
        <v>69</v>
      </c>
      <c r="P33" s="153" t="s">
        <v>72</v>
      </c>
      <c r="Q33" s="153" t="s">
        <v>103</v>
      </c>
      <c r="R33" s="183" t="s">
        <v>77</v>
      </c>
      <c r="S33" s="209" t="s">
        <v>101</v>
      </c>
      <c r="T33" s="210" t="s">
        <v>102</v>
      </c>
      <c r="U33" s="178" t="s">
        <v>98</v>
      </c>
      <c r="V33" s="153" t="s">
        <v>100</v>
      </c>
      <c r="W33" s="153" t="s">
        <v>32</v>
      </c>
      <c r="X33" s="153" t="s">
        <v>69</v>
      </c>
      <c r="Y33" s="153"/>
      <c r="Z33" s="153"/>
      <c r="AA33" s="178"/>
      <c r="AB33" s="153" t="s">
        <v>72</v>
      </c>
      <c r="AC33" s="153" t="s">
        <v>103</v>
      </c>
      <c r="AD33" s="153"/>
      <c r="AE33" s="183" t="s">
        <v>77</v>
      </c>
      <c r="AF33" s="209" t="s">
        <v>101</v>
      </c>
      <c r="AG33" s="210" t="s">
        <v>102</v>
      </c>
      <c r="AH33" s="178" t="s">
        <v>98</v>
      </c>
      <c r="AI33" s="153" t="s">
        <v>100</v>
      </c>
      <c r="AJ33" s="153" t="s">
        <v>33</v>
      </c>
      <c r="AK33" s="153" t="s">
        <v>69</v>
      </c>
      <c r="AL33" s="178"/>
      <c r="AM33" s="153"/>
      <c r="AN33" s="178"/>
      <c r="AO33" s="276" t="s">
        <v>95</v>
      </c>
      <c r="AP33" s="12"/>
      <c r="AQ33" s="227"/>
      <c r="AR33" s="275"/>
      <c r="AS33" s="12"/>
    </row>
    <row r="34" spans="1:45" ht="13.5" customHeight="1" x14ac:dyDescent="0.25">
      <c r="A34" s="296"/>
      <c r="B34" s="116"/>
      <c r="C34" s="115"/>
      <c r="D34" s="178"/>
      <c r="E34" s="211">
        <f>IF(H37&lt;=H38,H37,H38)</f>
        <v>10</v>
      </c>
      <c r="F34" s="190">
        <f>IF($D$4=2022,1,0)</f>
        <v>1</v>
      </c>
      <c r="G34" s="178">
        <f>IF($B31="Yes",$C$5,$I31)</f>
        <v>12</v>
      </c>
      <c r="H34" s="492">
        <f>H27</f>
        <v>3</v>
      </c>
      <c r="I34" s="212">
        <f>VLOOKUP(J27,'Lookup Tables'!$AB$22:$AC$31,2,FALSE)</f>
        <v>32</v>
      </c>
      <c r="J34" s="213">
        <f>VLOOKUP(U27,'Lookup Tables'!$AB$32:$AC$41,2,FALSE)</f>
        <v>33</v>
      </c>
      <c r="K34" s="203">
        <f>E34-J34</f>
        <v>-23</v>
      </c>
      <c r="L34" s="178">
        <f>IF(K34&gt;0,1,0)</f>
        <v>0</v>
      </c>
      <c r="M34" s="195">
        <f>M27</f>
        <v>0</v>
      </c>
      <c r="N34" s="196">
        <f>((((('Rate Tables'!B9*9)*0.02778)/5)*K34)*L34)*F34*M34</f>
        <v>0</v>
      </c>
      <c r="O34" s="197">
        <f>O27</f>
        <v>12</v>
      </c>
      <c r="P34" s="197">
        <f>IF(O34&lt;0,O34*0,1)*O34</f>
        <v>12</v>
      </c>
      <c r="Q34" s="203">
        <f>(E34-K34*F34*L34*M34)</f>
        <v>10</v>
      </c>
      <c r="R34" s="191">
        <f>S27</f>
        <v>3</v>
      </c>
      <c r="S34" s="212">
        <f>VLOOKUP(U27,'Lookup Tables'!$AB$22:$AC$31,2,FALSE)</f>
        <v>32</v>
      </c>
      <c r="T34" s="213">
        <f>VLOOKUP(AF27,'Lookup Tables'!$AB$32:$AC$41,2,FALSE)</f>
        <v>33</v>
      </c>
      <c r="U34" s="206">
        <f>Q34-T34</f>
        <v>-23</v>
      </c>
      <c r="V34" s="178">
        <f>IF(U34&gt;0,1,0)</f>
        <v>0</v>
      </c>
      <c r="W34" s="196">
        <f>((('Rate Tables'!C9*9)*0.02778)/5)*U34*F34*V34</f>
        <v>0</v>
      </c>
      <c r="X34" s="197">
        <f>AA27</f>
        <v>2</v>
      </c>
      <c r="Y34" s="178"/>
      <c r="Z34" s="195"/>
      <c r="AA34" s="178"/>
      <c r="AB34" s="197">
        <f>IF(X34&lt;0,X34*0,1)*X34</f>
        <v>2</v>
      </c>
      <c r="AC34" s="203">
        <f>Q34-(U34*V34)</f>
        <v>10</v>
      </c>
      <c r="AD34" s="178"/>
      <c r="AE34" s="191">
        <f>AE27</f>
        <v>1</v>
      </c>
      <c r="AF34" s="212">
        <f>VLOOKUP(AF27,'Lookup Tables'!$AB$22:$AC$31,2,FALSE)</f>
        <v>32</v>
      </c>
      <c r="AG34" s="213">
        <v>0</v>
      </c>
      <c r="AH34" s="208">
        <f>AC34-AG34</f>
        <v>10</v>
      </c>
      <c r="AI34" s="178">
        <f>IF(AH34&gt;0,1,0)</f>
        <v>1</v>
      </c>
      <c r="AJ34" s="196">
        <f>((('Rate Tables'!D9*9)*0.02778)/5)*AH34*AI34*F34</f>
        <v>0</v>
      </c>
      <c r="AK34" s="197">
        <f>AL27</f>
        <v>0</v>
      </c>
      <c r="AL34" s="178"/>
      <c r="AM34" s="197"/>
      <c r="AN34" s="178"/>
      <c r="AO34" s="308">
        <f>AP31</f>
        <v>10</v>
      </c>
      <c r="AP34" s="225"/>
      <c r="AQ34" s="227"/>
      <c r="AR34" s="275"/>
      <c r="AS34" s="12" t="s">
        <v>418</v>
      </c>
    </row>
    <row r="35" spans="1:45" ht="13.5" customHeight="1" x14ac:dyDescent="0.25">
      <c r="A35" s="296"/>
      <c r="B35" s="116"/>
      <c r="C35" s="117" t="s">
        <v>597</v>
      </c>
      <c r="D35" s="178"/>
      <c r="E35" s="153" t="s">
        <v>84</v>
      </c>
      <c r="F35" s="153" t="s">
        <v>42</v>
      </c>
      <c r="G35" s="153" t="s">
        <v>41</v>
      </c>
      <c r="H35" s="183" t="s">
        <v>77</v>
      </c>
      <c r="I35" s="209" t="s">
        <v>105</v>
      </c>
      <c r="J35" s="210" t="s">
        <v>106</v>
      </c>
      <c r="K35" s="153" t="s">
        <v>99</v>
      </c>
      <c r="L35" s="153" t="s">
        <v>100</v>
      </c>
      <c r="M35" s="153" t="s">
        <v>82</v>
      </c>
      <c r="N35" s="153" t="s">
        <v>32</v>
      </c>
      <c r="O35" s="153" t="s">
        <v>69</v>
      </c>
      <c r="P35" s="153" t="s">
        <v>72</v>
      </c>
      <c r="Q35" s="153" t="s">
        <v>103</v>
      </c>
      <c r="R35" s="183" t="s">
        <v>77</v>
      </c>
      <c r="S35" s="209" t="s">
        <v>105</v>
      </c>
      <c r="T35" s="210" t="s">
        <v>106</v>
      </c>
      <c r="U35" s="178" t="s">
        <v>98</v>
      </c>
      <c r="V35" s="153" t="s">
        <v>100</v>
      </c>
      <c r="W35" s="153" t="s">
        <v>33</v>
      </c>
      <c r="X35" s="153" t="s">
        <v>69</v>
      </c>
      <c r="Y35" s="153"/>
      <c r="Z35" s="153"/>
      <c r="AA35" s="178"/>
      <c r="AB35" s="153" t="s">
        <v>72</v>
      </c>
      <c r="AC35" s="153" t="s">
        <v>104</v>
      </c>
      <c r="AD35" s="153"/>
      <c r="AE35" s="183" t="s">
        <v>77</v>
      </c>
      <c r="AF35" s="209" t="s">
        <v>105</v>
      </c>
      <c r="AG35" s="210" t="s">
        <v>106</v>
      </c>
      <c r="AH35" s="178" t="s">
        <v>98</v>
      </c>
      <c r="AI35" s="153" t="s">
        <v>100</v>
      </c>
      <c r="AJ35" s="153" t="s">
        <v>34</v>
      </c>
      <c r="AK35" s="153" t="s">
        <v>69</v>
      </c>
      <c r="AL35" s="178"/>
      <c r="AM35" s="178"/>
      <c r="AN35" s="178"/>
      <c r="AO35" s="227"/>
      <c r="AP35" s="224"/>
      <c r="AQ35" s="227" t="s">
        <v>451</v>
      </c>
      <c r="AR35" s="275">
        <f>(VLOOKUP($B25,'Rate Tables'!$O$2:$P$8,2,FALSE))</f>
        <v>0.2697</v>
      </c>
      <c r="AS35" s="372">
        <f>VLOOKUP('F&amp;ARatesCalc'!$B$1,'F&amp;ARatesCalc'!$A$3:$B$5,2,FALSE)</f>
        <v>0.56999999999999995</v>
      </c>
    </row>
    <row r="36" spans="1:45" ht="13.5" customHeight="1" x14ac:dyDescent="0.25">
      <c r="A36" s="296"/>
      <c r="B36" s="116"/>
      <c r="C36" s="115"/>
      <c r="D36" s="178"/>
      <c r="E36" s="211">
        <f>E34</f>
        <v>10</v>
      </c>
      <c r="F36" s="190">
        <f>IF($D$4=2023,1,0)</f>
        <v>0</v>
      </c>
      <c r="G36" s="178">
        <f>IF($B31="Yes",$C$5,$I31)</f>
        <v>12</v>
      </c>
      <c r="H36" s="191">
        <f>H29</f>
        <v>3</v>
      </c>
      <c r="I36" s="212">
        <f>VLOOKUP(J29,'Lookup Tables'!$AB$22:$AC$31,2,FALSE)</f>
        <v>32</v>
      </c>
      <c r="J36" s="213">
        <f>VLOOKUP(U29,'Lookup Tables'!$AB$32:$AC$41,2,FALSE)</f>
        <v>33</v>
      </c>
      <c r="K36" s="203">
        <f>E36-J36</f>
        <v>-23</v>
      </c>
      <c r="L36" s="178">
        <f>IF(K36&gt;0,1,0)</f>
        <v>0</v>
      </c>
      <c r="M36" s="195">
        <f>M29</f>
        <v>0</v>
      </c>
      <c r="N36" s="196">
        <f>((((('Rate Tables'!C9*9)*0.02778)/5)*K36)*L36)*F36*M36</f>
        <v>0</v>
      </c>
      <c r="O36" s="197">
        <f>O29</f>
        <v>12</v>
      </c>
      <c r="P36" s="197">
        <f>IF(O36&lt;0,O36*0,1)*O36</f>
        <v>12</v>
      </c>
      <c r="Q36" s="203">
        <f>(E36-K36*F36*L36*M36)</f>
        <v>10</v>
      </c>
      <c r="R36" s="191">
        <f>S29</f>
        <v>3</v>
      </c>
      <c r="S36" s="212">
        <f>VLOOKUP(U29,'Lookup Tables'!$AB$22:$AC$31,2,FALSE)</f>
        <v>32</v>
      </c>
      <c r="T36" s="213">
        <f>VLOOKUP(AF29,'Lookup Tables'!$AB$32:$AC$41,2,FALSE)</f>
        <v>33</v>
      </c>
      <c r="U36" s="206">
        <f>Q36-T36</f>
        <v>-23</v>
      </c>
      <c r="V36" s="178">
        <f>IF(U36&gt;0,1,0)</f>
        <v>0</v>
      </c>
      <c r="W36" s="196">
        <f>((('Rate Tables'!D9*9)*0.02778)/5)*U36*F36*V36</f>
        <v>0</v>
      </c>
      <c r="X36" s="197">
        <f>AA29</f>
        <v>2</v>
      </c>
      <c r="Y36" s="178"/>
      <c r="Z36" s="195"/>
      <c r="AA36" s="178"/>
      <c r="AB36" s="197">
        <f>IF(X36&lt;0,X36*0,1)*X36</f>
        <v>2</v>
      </c>
      <c r="AC36" s="203">
        <f>Q36-(U36*V36)</f>
        <v>10</v>
      </c>
      <c r="AD36" s="178"/>
      <c r="AE36" s="191">
        <f>AE29</f>
        <v>1</v>
      </c>
      <c r="AF36" s="212">
        <f>VLOOKUP(AF29,'Lookup Tables'!$AB$22:$AC$31,2,FALSE)</f>
        <v>32</v>
      </c>
      <c r="AG36" s="213">
        <v>0</v>
      </c>
      <c r="AH36" s="208">
        <f>AC36-AG36</f>
        <v>10</v>
      </c>
      <c r="AI36" s="178">
        <f>IF(AH36&gt;0,1,0)</f>
        <v>1</v>
      </c>
      <c r="AJ36" s="196">
        <f>((('Rate Tables'!E9*9)*0.02778)/5)*AH36*AI36*F36</f>
        <v>0</v>
      </c>
      <c r="AK36" s="197">
        <f>AL29</f>
        <v>0</v>
      </c>
      <c r="AL36" s="178"/>
      <c r="AM36" s="178"/>
      <c r="AN36" s="178"/>
      <c r="AO36" s="227"/>
      <c r="AP36" s="12"/>
      <c r="AQ36" s="227" t="s">
        <v>452</v>
      </c>
      <c r="AR36" s="275">
        <f>_xlfn.IFNA(AR35,0)</f>
        <v>0.2697</v>
      </c>
      <c r="AS36" s="12" t="s">
        <v>417</v>
      </c>
    </row>
    <row r="37" spans="1:45" ht="13.5" customHeight="1" thickBot="1" x14ac:dyDescent="0.3">
      <c r="A37" s="296"/>
      <c r="B37" s="116"/>
      <c r="C37" s="114"/>
      <c r="D37" s="178"/>
      <c r="E37" s="178"/>
      <c r="F37" s="178"/>
      <c r="G37" s="491" t="s">
        <v>559</v>
      </c>
      <c r="H37" s="178">
        <f>AO34</f>
        <v>10</v>
      </c>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307"/>
      <c r="AP37" s="12"/>
      <c r="AQ37" s="227" t="s">
        <v>453</v>
      </c>
      <c r="AR37" s="275">
        <f>IF(AR36=0,0,AR35)</f>
        <v>0.2697</v>
      </c>
      <c r="AS37" s="12">
        <f>(AR32+AR38)*AS35</f>
        <v>0</v>
      </c>
    </row>
    <row r="38" spans="1:45" ht="13.5" customHeight="1" thickBot="1" x14ac:dyDescent="0.3">
      <c r="A38" s="380">
        <f>Personnel!E16</f>
        <v>0</v>
      </c>
      <c r="B38" s="273">
        <f>Personnel!E17</f>
        <v>0</v>
      </c>
      <c r="C38" s="114"/>
      <c r="D38" s="178"/>
      <c r="E38" s="178"/>
      <c r="F38" s="178"/>
      <c r="G38" s="491" t="s">
        <v>560</v>
      </c>
      <c r="H38" s="178">
        <f>VLOOKUP(H34,'Lookup Tables'!$L$62:$Y$74,MATCH(G34,'Lookup Tables'!$L$62:$Y$62,FALSE))</f>
        <v>65</v>
      </c>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309"/>
      <c r="AP38" s="274"/>
      <c r="AQ38" s="278" t="s">
        <v>415</v>
      </c>
      <c r="AR38" s="279">
        <f>AR32*AR37</f>
        <v>0</v>
      </c>
      <c r="AS38" s="373">
        <f>AR32+AR38+AS37</f>
        <v>0</v>
      </c>
    </row>
    <row r="39" spans="1:45" ht="6" customHeight="1" thickBot="1" x14ac:dyDescent="0.3">
      <c r="A39" s="297"/>
      <c r="B39" s="295"/>
      <c r="C39" s="291"/>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80"/>
      <c r="AP39" s="149"/>
      <c r="AQ39" s="280"/>
      <c r="AR39" s="281"/>
      <c r="AS39" s="374"/>
    </row>
    <row r="40" spans="1:45" ht="13.5" customHeight="1" x14ac:dyDescent="0.25">
      <c r="A40" s="298" t="s">
        <v>174</v>
      </c>
      <c r="B40" s="294" t="s">
        <v>337</v>
      </c>
      <c r="C40" s="259" t="s">
        <v>605</v>
      </c>
      <c r="D40" s="181"/>
      <c r="E40" s="181"/>
      <c r="F40" s="181"/>
      <c r="G40" s="181"/>
      <c r="H40" s="181"/>
      <c r="I40" s="181"/>
      <c r="J40" s="181"/>
      <c r="K40" s="181"/>
      <c r="L40" s="181"/>
      <c r="M40" s="181"/>
      <c r="N40" s="181"/>
      <c r="O40" s="181">
        <v>21</v>
      </c>
      <c r="P40" s="181"/>
      <c r="Q40" s="181"/>
      <c r="R40" s="181"/>
      <c r="S40" s="181"/>
      <c r="T40" s="181"/>
      <c r="U40" s="181"/>
      <c r="V40" s="181"/>
      <c r="W40" s="181"/>
      <c r="X40" s="181"/>
      <c r="Y40" s="181"/>
      <c r="Z40" s="493">
        <v>44378</v>
      </c>
      <c r="AA40" s="493">
        <v>44742</v>
      </c>
      <c r="AB40" s="181"/>
      <c r="AC40" s="181"/>
      <c r="AD40" s="181"/>
      <c r="AE40" s="181"/>
      <c r="AF40" s="181"/>
      <c r="AG40" s="181"/>
      <c r="AH40" s="181"/>
      <c r="AI40" s="181"/>
      <c r="AJ40" s="181"/>
      <c r="AK40" s="181"/>
      <c r="AL40" s="181">
        <v>23</v>
      </c>
      <c r="AM40" s="181"/>
      <c r="AN40" s="181"/>
      <c r="AO40" s="282"/>
      <c r="AP40" s="144"/>
      <c r="AQ40" s="282"/>
      <c r="AR40" s="283"/>
      <c r="AS40" s="12"/>
    </row>
    <row r="41" spans="1:45" ht="13.5" customHeight="1" x14ac:dyDescent="0.25">
      <c r="A41" s="354">
        <f>Personnel!C22</f>
        <v>0</v>
      </c>
      <c r="B41" s="346" t="str">
        <f>Personnel!C21</f>
        <v>Faculty</v>
      </c>
      <c r="C41" s="347">
        <f>Personnel!C23</f>
        <v>0</v>
      </c>
      <c r="D41" s="178"/>
      <c r="E41" s="178"/>
      <c r="F41" s="178"/>
      <c r="G41" s="178"/>
      <c r="H41" s="178"/>
      <c r="I41" s="178"/>
      <c r="J41" s="178"/>
      <c r="K41" s="178"/>
      <c r="L41" s="178"/>
      <c r="M41" s="178"/>
      <c r="N41" s="178"/>
      <c r="O41" s="178">
        <v>22</v>
      </c>
      <c r="P41" s="178"/>
      <c r="Q41" s="178"/>
      <c r="R41" s="178"/>
      <c r="S41" s="178"/>
      <c r="T41" s="178"/>
      <c r="U41" s="178"/>
      <c r="V41" s="178"/>
      <c r="W41" s="178"/>
      <c r="X41" s="178"/>
      <c r="Y41" s="178"/>
      <c r="Z41" s="178"/>
      <c r="AA41" s="178">
        <v>23</v>
      </c>
      <c r="AB41" s="178"/>
      <c r="AC41" s="178"/>
      <c r="AD41" s="178"/>
      <c r="AE41" s="178"/>
      <c r="AF41" s="178"/>
      <c r="AG41" s="178"/>
      <c r="AH41" s="178"/>
      <c r="AI41" s="178"/>
      <c r="AJ41" s="178"/>
      <c r="AK41" s="178"/>
      <c r="AL41" s="178">
        <v>24</v>
      </c>
      <c r="AM41" s="178"/>
      <c r="AN41" s="178"/>
      <c r="AO41" s="306" t="s">
        <v>412</v>
      </c>
      <c r="AP41" s="348">
        <f>Personnel!G21</f>
        <v>0</v>
      </c>
      <c r="AQ41" s="276" t="s">
        <v>414</v>
      </c>
      <c r="AR41" s="277">
        <f>(N43+N45+Z43+Z45+AK43+AK45)*AP46</f>
        <v>0</v>
      </c>
      <c r="AS41" s="224"/>
    </row>
    <row r="42" spans="1:45" ht="13.5" customHeight="1" x14ac:dyDescent="0.25">
      <c r="A42" s="296"/>
      <c r="B42" s="116"/>
      <c r="C42" s="117" t="s">
        <v>30</v>
      </c>
      <c r="D42" s="178"/>
      <c r="E42" s="153" t="s">
        <v>16</v>
      </c>
      <c r="F42" s="153" t="s">
        <v>42</v>
      </c>
      <c r="G42" s="153" t="s">
        <v>41</v>
      </c>
      <c r="H42" s="183" t="s">
        <v>77</v>
      </c>
      <c r="I42" s="184" t="s">
        <v>90</v>
      </c>
      <c r="J42" s="185" t="s">
        <v>70</v>
      </c>
      <c r="K42" s="186" t="s">
        <v>93</v>
      </c>
      <c r="L42" s="153" t="s">
        <v>35</v>
      </c>
      <c r="M42" s="153" t="s">
        <v>82</v>
      </c>
      <c r="N42" s="153" t="s">
        <v>31</v>
      </c>
      <c r="O42" s="153" t="s">
        <v>69</v>
      </c>
      <c r="P42" s="153" t="s">
        <v>72</v>
      </c>
      <c r="Q42" s="183" t="s">
        <v>80</v>
      </c>
      <c r="R42" s="187" t="s">
        <v>81</v>
      </c>
      <c r="S42" s="183" t="s">
        <v>77</v>
      </c>
      <c r="T42" s="598" t="s">
        <v>83</v>
      </c>
      <c r="U42" s="185" t="s">
        <v>70</v>
      </c>
      <c r="V42" s="153" t="s">
        <v>91</v>
      </c>
      <c r="W42" s="153" t="s">
        <v>43</v>
      </c>
      <c r="X42" s="153" t="s">
        <v>53</v>
      </c>
      <c r="Y42" s="153" t="s">
        <v>68</v>
      </c>
      <c r="Z42" s="153" t="s">
        <v>32</v>
      </c>
      <c r="AA42" s="153" t="s">
        <v>69</v>
      </c>
      <c r="AB42" s="153" t="s">
        <v>72</v>
      </c>
      <c r="AC42" s="153" t="s">
        <v>80</v>
      </c>
      <c r="AD42" s="187" t="s">
        <v>81</v>
      </c>
      <c r="AE42" s="183" t="s">
        <v>77</v>
      </c>
      <c r="AF42" s="185" t="s">
        <v>70</v>
      </c>
      <c r="AG42" s="153" t="s">
        <v>92</v>
      </c>
      <c r="AH42" s="153" t="s">
        <v>44</v>
      </c>
      <c r="AI42" s="153" t="s">
        <v>78</v>
      </c>
      <c r="AJ42" s="153" t="s">
        <v>68</v>
      </c>
      <c r="AK42" s="153" t="s">
        <v>33</v>
      </c>
      <c r="AL42" s="153" t="s">
        <v>69</v>
      </c>
      <c r="AM42" s="153"/>
      <c r="AN42" s="178"/>
      <c r="AO42" s="227"/>
      <c r="AP42" s="349"/>
      <c r="AQ42" s="227"/>
      <c r="AR42" s="275"/>
      <c r="AS42" s="12"/>
    </row>
    <row r="43" spans="1:45" ht="13.5" customHeight="1" x14ac:dyDescent="0.25">
      <c r="A43" s="296"/>
      <c r="B43" s="116"/>
      <c r="C43" s="115"/>
      <c r="D43" s="178"/>
      <c r="E43" s="189">
        <f>AP41</f>
        <v>0</v>
      </c>
      <c r="F43" s="190">
        <f>IF($D$4=2022,1,0)</f>
        <v>1</v>
      </c>
      <c r="G43" s="178">
        <f>IF($B47="Yes",$C$5,$I47)</f>
        <v>12</v>
      </c>
      <c r="H43" s="492">
        <f>VLOOKUP(H46,'Lookup Tables'!$A$22:$B$33,2,FALSE)</f>
        <v>3</v>
      </c>
      <c r="I43" s="192">
        <f>VLOOKUP($E$4,'Lookup Tables'!$AB$46:$AN$58,MATCH($H43,'Lookup Tables'!$AB$46:$AN$46),FALSE)</f>
        <v>12</v>
      </c>
      <c r="J43" s="193">
        <f>VLOOKUP(H43,'Lookup Tables'!$A$3:$AA$16,MATCH(PersonCalcYr1!$G43,'Lookup Tables'!$A$3:$AA$3),FALSE)</f>
        <v>1.5161</v>
      </c>
      <c r="K43" s="194">
        <f>VLOOKUP(H46,'Lookup Tables'!$K$23:$L$34,2,FALSE)</f>
        <v>0</v>
      </c>
      <c r="L43" s="178">
        <f>IF(G43&lt;=K43,G43,K43)</f>
        <v>0</v>
      </c>
      <c r="M43" s="195">
        <f>IF(12-I43&gt;=1,1,0)</f>
        <v>0</v>
      </c>
      <c r="N43" s="196">
        <f>(('Rate Tables'!B14*PersonCalcYr1!E43)*PersonCalcYr1!L43)*PersonCalcYr1!F43*M43</f>
        <v>0</v>
      </c>
      <c r="O43" s="197">
        <f>G43-((J43+L43)*M43)</f>
        <v>12</v>
      </c>
      <c r="P43" s="197">
        <f>IF(O43&lt;0,O43*0,1)*O43</f>
        <v>12</v>
      </c>
      <c r="Q43" s="198">
        <f>H43+(L43*M43)+(J43*M43)</f>
        <v>3</v>
      </c>
      <c r="R43" s="199" t="str">
        <f>VLOOKUP(Q43,'Lookup Tables'!$A$38:$B$151,2,FALSE)</f>
        <v>Sept</v>
      </c>
      <c r="S43" s="191">
        <f>VLOOKUP(R43,'Lookup Tables'!$A$22:$B$33,2,FALSE)</f>
        <v>3</v>
      </c>
      <c r="T43" s="599">
        <f>VLOOKUP($E$4,'Lookup Tables'!$AB$63:$AN$75,MATCH(PersonCalcYr1!$S43,'Lookup Tables'!$AB$63:$AN$63),FALSE)</f>
        <v>0.5161</v>
      </c>
      <c r="U43" s="200">
        <f>VLOOKUP(S43,'Lookup Tables'!$A$3:$AA$16,MATCH(PersonCalcYr1!$P43,'Lookup Tables'!$A$3:$AA$3),FALSE)</f>
        <v>1.5161</v>
      </c>
      <c r="V43" s="496">
        <f>9-T43</f>
        <v>8.4839000000000002</v>
      </c>
      <c r="W43" s="201">
        <f>P43-U43</f>
        <v>10.4839</v>
      </c>
      <c r="X43" s="195">
        <f>IF(V43&lt;=W43,V43,W43)</f>
        <v>8.4839000000000002</v>
      </c>
      <c r="Y43" s="195">
        <f>IF(12-T43-U43-X43&gt;=0,1,0)</f>
        <v>1</v>
      </c>
      <c r="Z43" s="202">
        <f>((('Rate Tables'!C14*$E43)*PersonCalcYr1!$X43)*$F43)*Y43</f>
        <v>0</v>
      </c>
      <c r="AA43" s="197">
        <f>O43-(((U43*U47)+X43)*Y43)</f>
        <v>2</v>
      </c>
      <c r="AB43" s="197">
        <f>IF(AA43&lt;0,AA43*0,1)*AA43</f>
        <v>2</v>
      </c>
      <c r="AC43" s="601">
        <f>S43+(X43*Y43)+((U43*U47)*Y43)</f>
        <v>13</v>
      </c>
      <c r="AD43" s="199" t="str">
        <f>VLOOKUP(AC43,'Lookup Tables'!$A$38:$B$151,2,FALSE)</f>
        <v>July</v>
      </c>
      <c r="AE43" s="191">
        <f>VLOOKUP(AD43,'Lookup Tables'!$A$22:$B$33,2,FALSE)</f>
        <v>1</v>
      </c>
      <c r="AF43" s="200">
        <f>VLOOKUP(AE43,'Lookup Tables'!$A$3:$AA$16,MATCH(PersonCalcYr1!AB43,'Lookup Tables'!$A$3:$AA$3),FALSE)</f>
        <v>1.4839</v>
      </c>
      <c r="AG43" s="178">
        <v>9</v>
      </c>
      <c r="AH43" s="201">
        <f>AB43-AF43</f>
        <v>0.5161</v>
      </c>
      <c r="AI43" s="195">
        <f>IF(AG43&lt;=AH43,AG43,AH43)</f>
        <v>0.5161</v>
      </c>
      <c r="AJ43" s="195">
        <f>IF((AG43+AF43)&lt;=0,0,1)</f>
        <v>1</v>
      </c>
      <c r="AK43" s="204">
        <f>((('Rate Tables'!D14*$E43)*PersonCalcYr1!AI43)*$F43)*AJ43</f>
        <v>0</v>
      </c>
      <c r="AL43" s="197">
        <f>AB43-AF43-AI43</f>
        <v>0</v>
      </c>
      <c r="AM43" s="197"/>
      <c r="AN43" s="178"/>
      <c r="AO43" s="227"/>
      <c r="AP43" s="350"/>
      <c r="AQ43" s="227"/>
      <c r="AR43" s="275"/>
      <c r="AS43" s="12"/>
    </row>
    <row r="44" spans="1:45" ht="13.5" customHeight="1" x14ac:dyDescent="0.25">
      <c r="A44" s="296"/>
      <c r="B44" s="116"/>
      <c r="C44" s="117" t="s">
        <v>597</v>
      </c>
      <c r="D44" s="178"/>
      <c r="E44" s="153" t="s">
        <v>16</v>
      </c>
      <c r="F44" s="153" t="s">
        <v>42</v>
      </c>
      <c r="G44" s="153" t="s">
        <v>41</v>
      </c>
      <c r="H44" s="183" t="s">
        <v>77</v>
      </c>
      <c r="I44" s="184" t="s">
        <v>90</v>
      </c>
      <c r="J44" s="185" t="s">
        <v>70</v>
      </c>
      <c r="K44" s="186" t="s">
        <v>109</v>
      </c>
      <c r="L44" s="153" t="s">
        <v>53</v>
      </c>
      <c r="M44" s="153" t="s">
        <v>82</v>
      </c>
      <c r="N44" s="153" t="s">
        <v>32</v>
      </c>
      <c r="O44" s="153" t="s">
        <v>69</v>
      </c>
      <c r="P44" s="153" t="s">
        <v>72</v>
      </c>
      <c r="Q44" s="183" t="s">
        <v>80</v>
      </c>
      <c r="R44" s="187" t="s">
        <v>81</v>
      </c>
      <c r="S44" s="183" t="s">
        <v>77</v>
      </c>
      <c r="T44" s="598" t="s">
        <v>83</v>
      </c>
      <c r="U44" s="185" t="s">
        <v>70</v>
      </c>
      <c r="V44" s="153" t="s">
        <v>92</v>
      </c>
      <c r="W44" s="153" t="s">
        <v>44</v>
      </c>
      <c r="X44" s="153" t="s">
        <v>78</v>
      </c>
      <c r="Y44" s="153" t="s">
        <v>68</v>
      </c>
      <c r="Z44" s="153" t="s">
        <v>33</v>
      </c>
      <c r="AA44" s="153" t="s">
        <v>69</v>
      </c>
      <c r="AB44" s="153" t="s">
        <v>72</v>
      </c>
      <c r="AC44" s="153" t="s">
        <v>80</v>
      </c>
      <c r="AD44" s="187" t="s">
        <v>81</v>
      </c>
      <c r="AE44" s="183" t="s">
        <v>77</v>
      </c>
      <c r="AF44" s="185" t="s">
        <v>70</v>
      </c>
      <c r="AG44" s="153" t="s">
        <v>94</v>
      </c>
      <c r="AH44" s="153" t="s">
        <v>45</v>
      </c>
      <c r="AI44" s="153" t="s">
        <v>79</v>
      </c>
      <c r="AJ44" s="153" t="s">
        <v>68</v>
      </c>
      <c r="AK44" s="153" t="s">
        <v>34</v>
      </c>
      <c r="AL44" s="153" t="s">
        <v>69</v>
      </c>
      <c r="AM44" s="153"/>
      <c r="AN44" s="178"/>
      <c r="AO44" s="227"/>
      <c r="AP44" s="351"/>
      <c r="AQ44" s="227"/>
      <c r="AR44" s="275"/>
      <c r="AS44" s="12"/>
    </row>
    <row r="45" spans="1:45" ht="13.5" customHeight="1" x14ac:dyDescent="0.25">
      <c r="A45" s="296"/>
      <c r="B45" s="116"/>
      <c r="C45" s="115"/>
      <c r="D45" s="178"/>
      <c r="E45" s="189">
        <f>AP41</f>
        <v>0</v>
      </c>
      <c r="F45" s="190">
        <f>IF($D$4=2023,1,0)</f>
        <v>0</v>
      </c>
      <c r="G45" s="178">
        <f>IF($B47="Yes",$C$5,$I47)</f>
        <v>12</v>
      </c>
      <c r="H45" s="191">
        <f>VLOOKUP(H46,'Lookup Tables'!$A$22:$B$33,2,FALSE)</f>
        <v>3</v>
      </c>
      <c r="I45" s="192">
        <f>VLOOKUP($E$4,'Lookup Tables'!$AB$46:$AN$58,MATCH($H45,'Lookup Tables'!$AB$46:$AN$46),FALSE)</f>
        <v>12</v>
      </c>
      <c r="J45" s="193">
        <f>VLOOKUP(H45,'Lookup Tables'!$A$3:$AA$16,MATCH(PersonCalcYr1!$G45,'Lookup Tables'!$A$3:$AA$3),FALSE)</f>
        <v>1.5161</v>
      </c>
      <c r="K45" s="194">
        <f>VLOOKUP($H46,'Lookup Tables'!$K$23:$L$34,2,FALSE)</f>
        <v>0</v>
      </c>
      <c r="L45" s="178">
        <f>IF(G45&lt;=K45,G45,K45)</f>
        <v>0</v>
      </c>
      <c r="M45" s="195">
        <f>IF(12-I45&gt;=1,1,0)</f>
        <v>0</v>
      </c>
      <c r="N45" s="196">
        <f>(('Rate Tables'!C14*PersonCalcYr1!E45)*PersonCalcYr1!L45)*PersonCalcYr1!F45*M45</f>
        <v>0</v>
      </c>
      <c r="O45" s="197">
        <f>G45-((J45+L45)*M45)</f>
        <v>12</v>
      </c>
      <c r="P45" s="197">
        <f>IF(O45&lt;0,O45*0,1)*O45</f>
        <v>12</v>
      </c>
      <c r="Q45" s="198">
        <f>H45+(L45*M45)+(J45*M45)</f>
        <v>3</v>
      </c>
      <c r="R45" s="199" t="str">
        <f>VLOOKUP(Q45,'Lookup Tables'!$A$38:$B$151,2,FALSE)</f>
        <v>Sept</v>
      </c>
      <c r="S45" s="191">
        <f>VLOOKUP(R45,'Lookup Tables'!$A$22:$B$33,2,FALSE)</f>
        <v>3</v>
      </c>
      <c r="T45" s="599">
        <f>VLOOKUP($E$4,'Lookup Tables'!$AB$63:$AN$75,MATCH(PersonCalcYr1!$S45,'Lookup Tables'!$AB$63:$AN$63),FALSE)</f>
        <v>0.5161</v>
      </c>
      <c r="U45" s="200">
        <f>VLOOKUP(S45,'Lookup Tables'!$A$3:$AA$16,MATCH(PersonCalcYr1!$P45,'Lookup Tables'!$A$3:$AA$3),FALSE)</f>
        <v>1.5161</v>
      </c>
      <c r="V45" s="496">
        <f>9-T45</f>
        <v>8.4839000000000002</v>
      </c>
      <c r="W45" s="201">
        <f>P45-U45</f>
        <v>10.4839</v>
      </c>
      <c r="X45" s="195">
        <f>IF(V45&lt;=W45,V45,W45)</f>
        <v>8.4839000000000002</v>
      </c>
      <c r="Y45" s="195">
        <f>IF(12-T45-U45-X45&gt;=0,1,0)</f>
        <v>1</v>
      </c>
      <c r="Z45" s="202">
        <f>((('Rate Tables'!D14*$E45)*PersonCalcYr1!$X45)*$F45)*Y45</f>
        <v>0</v>
      </c>
      <c r="AA45" s="197">
        <f>O45-(((U45*U47)+X45)*Y45)</f>
        <v>2</v>
      </c>
      <c r="AB45" s="197">
        <f>IF(AA45&lt;0,AA45*0,1)*AA45</f>
        <v>2</v>
      </c>
      <c r="AC45" s="601">
        <f>S45+(X45*Y45)+((U45*U47)*Y45)</f>
        <v>13</v>
      </c>
      <c r="AD45" s="199" t="str">
        <f>VLOOKUP(AC45,'Lookup Tables'!$A$38:$B$151,2,FALSE)</f>
        <v>July</v>
      </c>
      <c r="AE45" s="191">
        <f>VLOOKUP(AD45,'Lookup Tables'!$A$22:$B$33,2,FALSE)</f>
        <v>1</v>
      </c>
      <c r="AF45" s="200">
        <f>VLOOKUP(AE45,'Lookup Tables'!$A$3:$AA$16,MATCH(PersonCalcYr1!AB45,'Lookup Tables'!$A$3:$AA$3),FALSE)</f>
        <v>1.4839</v>
      </c>
      <c r="AG45" s="178">
        <v>9</v>
      </c>
      <c r="AH45" s="201">
        <f>AB45-AF45</f>
        <v>0.5161</v>
      </c>
      <c r="AI45" s="195">
        <f>IF(AG45&lt;=AH45,AG45,AH45)</f>
        <v>0.5161</v>
      </c>
      <c r="AJ45" s="195">
        <f>IF((AG45+AF45)&lt;=0,0,1)</f>
        <v>1</v>
      </c>
      <c r="AK45" s="204">
        <f>((('Rate Tables'!E14*$E45)*PersonCalcYr1!AI45)*$F45)*AJ45</f>
        <v>0</v>
      </c>
      <c r="AL45" s="197">
        <f>AB45-AF45-AI45</f>
        <v>0</v>
      </c>
      <c r="AM45" s="197"/>
      <c r="AN45" s="178"/>
      <c r="AO45" s="227"/>
      <c r="AP45" s="349"/>
      <c r="AQ45" s="227"/>
      <c r="AR45" s="275"/>
      <c r="AS45" s="12"/>
    </row>
    <row r="46" spans="1:45" ht="13.5" customHeight="1" x14ac:dyDescent="0.25">
      <c r="A46" s="296"/>
      <c r="B46" s="116"/>
      <c r="C46" s="115"/>
      <c r="D46" s="178"/>
      <c r="E46" s="205"/>
      <c r="F46" s="190"/>
      <c r="G46" s="178" t="s">
        <v>430</v>
      </c>
      <c r="H46" s="178" t="str">
        <f>IF(B47="yes",$C$4,A54)</f>
        <v>Sept</v>
      </c>
      <c r="I46" s="178"/>
      <c r="J46" s="178"/>
      <c r="K46" s="178"/>
      <c r="L46" s="178"/>
      <c r="M46" s="206"/>
      <c r="N46" s="207"/>
      <c r="O46" s="208"/>
      <c r="P46" s="190"/>
      <c r="Q46" s="190"/>
      <c r="R46" s="190"/>
      <c r="S46" s="190"/>
      <c r="T46" s="190"/>
      <c r="U46" s="178"/>
      <c r="V46" s="201"/>
      <c r="W46" s="201"/>
      <c r="X46" s="178"/>
      <c r="Y46" s="206"/>
      <c r="Z46" s="207"/>
      <c r="AA46" s="208"/>
      <c r="AB46" s="202"/>
      <c r="AC46" s="202"/>
      <c r="AD46" s="202"/>
      <c r="AE46" s="202"/>
      <c r="AF46" s="203"/>
      <c r="AG46" s="201"/>
      <c r="AH46" s="201"/>
      <c r="AI46" s="178"/>
      <c r="AJ46" s="206"/>
      <c r="AK46" s="207"/>
      <c r="AL46" s="208"/>
      <c r="AM46" s="202"/>
      <c r="AN46" s="178"/>
      <c r="AO46" s="307" t="s">
        <v>450</v>
      </c>
      <c r="AP46" s="349">
        <f>IF(B41=0,0,1)</f>
        <v>1</v>
      </c>
      <c r="AQ46" s="227"/>
      <c r="AR46" s="275"/>
      <c r="AS46" s="12"/>
    </row>
    <row r="47" spans="1:45" ht="13.5" customHeight="1" x14ac:dyDescent="0.25">
      <c r="A47" s="37" t="s">
        <v>431</v>
      </c>
      <c r="B47" s="375" t="str">
        <f>Personnel!E21</f>
        <v>YES</v>
      </c>
      <c r="C47" s="115"/>
      <c r="D47" s="178"/>
      <c r="E47" s="205"/>
      <c r="F47" s="190"/>
      <c r="G47" s="491" t="s">
        <v>555</v>
      </c>
      <c r="H47" s="175">
        <f>IF(H48&lt;$C$5, H48,$C$5)</f>
        <v>12</v>
      </c>
      <c r="I47" s="178">
        <f>IF(B54&lt;=H48,B54,H48)</f>
        <v>0</v>
      </c>
      <c r="J47" s="178"/>
      <c r="K47" s="178"/>
      <c r="L47" s="178"/>
      <c r="M47" s="178"/>
      <c r="N47" s="178"/>
      <c r="O47" s="178"/>
      <c r="P47" s="190"/>
      <c r="Q47" s="190"/>
      <c r="R47" s="190"/>
      <c r="S47" s="190"/>
      <c r="T47" s="605" t="s">
        <v>573</v>
      </c>
      <c r="U47" s="606">
        <f>VLOOKUP($E$4,'Lookup Tables'!$L$79:$X$91,MATCH(PersonCalcYr1!$S43,'Lookup Tables'!$L$79:$X$79),FALSE)</f>
        <v>1</v>
      </c>
      <c r="V47" s="201"/>
      <c r="W47" s="201"/>
      <c r="X47" s="201"/>
      <c r="Y47" s="195"/>
      <c r="Z47" s="195"/>
      <c r="AA47" s="202"/>
      <c r="AB47" s="202"/>
      <c r="AC47" s="202"/>
      <c r="AD47" s="202"/>
      <c r="AE47" s="202"/>
      <c r="AF47" s="203"/>
      <c r="AG47" s="201"/>
      <c r="AH47" s="201"/>
      <c r="AI47" s="201"/>
      <c r="AJ47" s="201"/>
      <c r="AK47" s="202"/>
      <c r="AL47" s="202"/>
      <c r="AM47" s="202"/>
      <c r="AN47" s="178"/>
      <c r="AO47" s="370" t="s">
        <v>411</v>
      </c>
      <c r="AP47" s="352">
        <f>Personnel!G22</f>
        <v>10</v>
      </c>
      <c r="AQ47" s="276" t="s">
        <v>117</v>
      </c>
      <c r="AR47" s="277">
        <f>(N50+W50+AJ50+N52+W52+AJ52)*AP46</f>
        <v>0</v>
      </c>
      <c r="AS47" s="224"/>
    </row>
    <row r="48" spans="1:45" ht="13.5" customHeight="1" x14ac:dyDescent="0.25">
      <c r="A48" s="296" t="s">
        <v>439</v>
      </c>
      <c r="B48" s="114" t="s">
        <v>427</v>
      </c>
      <c r="C48" s="114"/>
      <c r="D48" s="178"/>
      <c r="E48" s="178"/>
      <c r="F48" s="178"/>
      <c r="G48" s="178"/>
      <c r="H48" s="175">
        <f>VLOOKUP($E$4,'Lookup Tables'!$L$46:$AA$58,MATCH($H$43,'Lookup Tables'!$L$46:$X$46),FALSE)</f>
        <v>12</v>
      </c>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227"/>
      <c r="AP48" s="12"/>
      <c r="AQ48" s="278" t="s">
        <v>96</v>
      </c>
      <c r="AR48" s="279">
        <f>AR41+AR47</f>
        <v>0</v>
      </c>
      <c r="AS48" s="369"/>
    </row>
    <row r="49" spans="1:45" ht="13.5" customHeight="1" x14ac:dyDescent="0.25">
      <c r="A49" s="296"/>
      <c r="B49" s="116"/>
      <c r="C49" s="117" t="s">
        <v>30</v>
      </c>
      <c r="D49" s="178"/>
      <c r="E49" s="153" t="s">
        <v>84</v>
      </c>
      <c r="F49" s="153" t="s">
        <v>42</v>
      </c>
      <c r="G49" s="153" t="s">
        <v>41</v>
      </c>
      <c r="H49" s="183" t="s">
        <v>77</v>
      </c>
      <c r="I49" s="209" t="s">
        <v>101</v>
      </c>
      <c r="J49" s="210" t="s">
        <v>102</v>
      </c>
      <c r="K49" s="153" t="s">
        <v>98</v>
      </c>
      <c r="L49" s="153" t="s">
        <v>100</v>
      </c>
      <c r="M49" s="153" t="s">
        <v>82</v>
      </c>
      <c r="N49" s="153" t="s">
        <v>31</v>
      </c>
      <c r="O49" s="153" t="s">
        <v>69</v>
      </c>
      <c r="P49" s="153" t="s">
        <v>72</v>
      </c>
      <c r="Q49" s="153" t="s">
        <v>103</v>
      </c>
      <c r="R49" s="183" t="s">
        <v>77</v>
      </c>
      <c r="S49" s="209" t="s">
        <v>101</v>
      </c>
      <c r="T49" s="210" t="s">
        <v>102</v>
      </c>
      <c r="U49" s="178" t="s">
        <v>98</v>
      </c>
      <c r="V49" s="153" t="s">
        <v>100</v>
      </c>
      <c r="W49" s="153" t="s">
        <v>32</v>
      </c>
      <c r="X49" s="153" t="s">
        <v>69</v>
      </c>
      <c r="Y49" s="153"/>
      <c r="Z49" s="153"/>
      <c r="AA49" s="178"/>
      <c r="AB49" s="153" t="s">
        <v>72</v>
      </c>
      <c r="AC49" s="153" t="s">
        <v>103</v>
      </c>
      <c r="AD49" s="153"/>
      <c r="AE49" s="183" t="s">
        <v>77</v>
      </c>
      <c r="AF49" s="209" t="s">
        <v>101</v>
      </c>
      <c r="AG49" s="210" t="s">
        <v>102</v>
      </c>
      <c r="AH49" s="178" t="s">
        <v>98</v>
      </c>
      <c r="AI49" s="153" t="s">
        <v>100</v>
      </c>
      <c r="AJ49" s="153" t="s">
        <v>33</v>
      </c>
      <c r="AK49" s="153" t="s">
        <v>69</v>
      </c>
      <c r="AL49" s="178"/>
      <c r="AM49" s="153"/>
      <c r="AN49" s="178"/>
      <c r="AO49" s="276" t="s">
        <v>95</v>
      </c>
      <c r="AP49" s="12"/>
      <c r="AQ49" s="227"/>
      <c r="AR49" s="275"/>
      <c r="AS49" s="12"/>
    </row>
    <row r="50" spans="1:45" ht="13.5" customHeight="1" x14ac:dyDescent="0.25">
      <c r="A50" s="296"/>
      <c r="B50" s="116"/>
      <c r="C50" s="115"/>
      <c r="D50" s="178"/>
      <c r="E50" s="211">
        <f>IF(H53&lt;=H54,H53,H54)</f>
        <v>10</v>
      </c>
      <c r="F50" s="190">
        <f>IF($D$4=2022,1,0)</f>
        <v>1</v>
      </c>
      <c r="G50" s="178">
        <f>IF($B47="Yes",$C$5,$I47)</f>
        <v>12</v>
      </c>
      <c r="H50" s="191">
        <f>H43</f>
        <v>3</v>
      </c>
      <c r="I50" s="212">
        <f>VLOOKUP(J43,'Lookup Tables'!$AB$22:$AC$31,2,FALSE)</f>
        <v>32</v>
      </c>
      <c r="J50" s="213">
        <f>VLOOKUP(U43,'Lookup Tables'!$AB$32:$AC$41,2,FALSE)</f>
        <v>33</v>
      </c>
      <c r="K50" s="203">
        <f>E50-J50</f>
        <v>-23</v>
      </c>
      <c r="L50" s="178">
        <f>IF(K50&gt;0,1,0)</f>
        <v>0</v>
      </c>
      <c r="M50" s="195">
        <f>M43</f>
        <v>0</v>
      </c>
      <c r="N50" s="196">
        <f>((((('Rate Tables'!B14*9)*0.02778)/5)*K50)*L50)*F50*M50</f>
        <v>0</v>
      </c>
      <c r="O50" s="197">
        <f>O43</f>
        <v>12</v>
      </c>
      <c r="P50" s="197">
        <f>IF(O50&lt;0,O50*0,1)*O50</f>
        <v>12</v>
      </c>
      <c r="Q50" s="203">
        <f>(E50-K50*F50*L50*M50)</f>
        <v>10</v>
      </c>
      <c r="R50" s="191">
        <f>S43</f>
        <v>3</v>
      </c>
      <c r="S50" s="212">
        <f>VLOOKUP(U43,'Lookup Tables'!$AB$22:$AC$31,2,FALSE)</f>
        <v>32</v>
      </c>
      <c r="T50" s="213">
        <f>VLOOKUP(AF43,'Lookup Tables'!$AB$32:$AC$41,2,FALSE)</f>
        <v>33</v>
      </c>
      <c r="U50" s="206">
        <f>Q50-T50</f>
        <v>-23</v>
      </c>
      <c r="V50" s="178">
        <f>IF(U50&gt;0,1,0)</f>
        <v>0</v>
      </c>
      <c r="W50" s="196">
        <f>((('Rate Tables'!C14*9)*0.02778)/5)*U50*F50*V50</f>
        <v>0</v>
      </c>
      <c r="X50" s="197">
        <f>AA43</f>
        <v>2</v>
      </c>
      <c r="Y50" s="178"/>
      <c r="Z50" s="195"/>
      <c r="AA50" s="178"/>
      <c r="AB50" s="197">
        <f>IF(X50&lt;0,X50*0,1)*X50</f>
        <v>2</v>
      </c>
      <c r="AC50" s="203">
        <f>Q50-(U50*V50)</f>
        <v>10</v>
      </c>
      <c r="AD50" s="178"/>
      <c r="AE50" s="191">
        <f>AE43</f>
        <v>1</v>
      </c>
      <c r="AF50" s="212">
        <f>VLOOKUP(AF43,'Lookup Tables'!$AB$22:$AC$31,2,FALSE)</f>
        <v>32</v>
      </c>
      <c r="AG50" s="213">
        <v>0</v>
      </c>
      <c r="AH50" s="208">
        <f>AC50-AG50</f>
        <v>10</v>
      </c>
      <c r="AI50" s="178">
        <f>IF(AH50&gt;0,1,0)</f>
        <v>1</v>
      </c>
      <c r="AJ50" s="196">
        <f>((('Rate Tables'!D14*9)*0.02778)/5)*AH50*AI50*F50</f>
        <v>0</v>
      </c>
      <c r="AK50" s="197">
        <f>AL43</f>
        <v>0</v>
      </c>
      <c r="AL50" s="178"/>
      <c r="AM50" s="197"/>
      <c r="AN50" s="178"/>
      <c r="AO50" s="308">
        <f>AP47</f>
        <v>10</v>
      </c>
      <c r="AP50" s="225"/>
      <c r="AQ50" s="227"/>
      <c r="AR50" s="275"/>
      <c r="AS50" s="12" t="s">
        <v>418</v>
      </c>
    </row>
    <row r="51" spans="1:45" ht="13.5" customHeight="1" x14ac:dyDescent="0.25">
      <c r="A51" s="296"/>
      <c r="B51" s="116"/>
      <c r="C51" s="117" t="s">
        <v>597</v>
      </c>
      <c r="D51" s="178"/>
      <c r="E51" s="153" t="s">
        <v>84</v>
      </c>
      <c r="F51" s="153" t="s">
        <v>42</v>
      </c>
      <c r="G51" s="153" t="s">
        <v>41</v>
      </c>
      <c r="H51" s="183" t="s">
        <v>77</v>
      </c>
      <c r="I51" s="209" t="s">
        <v>105</v>
      </c>
      <c r="J51" s="210" t="s">
        <v>106</v>
      </c>
      <c r="K51" s="153" t="s">
        <v>99</v>
      </c>
      <c r="L51" s="153" t="s">
        <v>100</v>
      </c>
      <c r="M51" s="153" t="s">
        <v>82</v>
      </c>
      <c r="N51" s="153" t="s">
        <v>32</v>
      </c>
      <c r="O51" s="153" t="s">
        <v>69</v>
      </c>
      <c r="P51" s="153" t="s">
        <v>72</v>
      </c>
      <c r="Q51" s="153" t="s">
        <v>103</v>
      </c>
      <c r="R51" s="183" t="s">
        <v>77</v>
      </c>
      <c r="S51" s="209" t="s">
        <v>105</v>
      </c>
      <c r="T51" s="210" t="s">
        <v>106</v>
      </c>
      <c r="U51" s="178" t="s">
        <v>98</v>
      </c>
      <c r="V51" s="153" t="s">
        <v>100</v>
      </c>
      <c r="W51" s="153" t="s">
        <v>33</v>
      </c>
      <c r="X51" s="153" t="s">
        <v>69</v>
      </c>
      <c r="Y51" s="153"/>
      <c r="Z51" s="153"/>
      <c r="AA51" s="178"/>
      <c r="AB51" s="153" t="s">
        <v>72</v>
      </c>
      <c r="AC51" s="153" t="s">
        <v>104</v>
      </c>
      <c r="AD51" s="153"/>
      <c r="AE51" s="183" t="s">
        <v>77</v>
      </c>
      <c r="AF51" s="209" t="s">
        <v>105</v>
      </c>
      <c r="AG51" s="210" t="s">
        <v>106</v>
      </c>
      <c r="AH51" s="178" t="s">
        <v>98</v>
      </c>
      <c r="AI51" s="153" t="s">
        <v>100</v>
      </c>
      <c r="AJ51" s="153" t="s">
        <v>34</v>
      </c>
      <c r="AK51" s="153" t="s">
        <v>69</v>
      </c>
      <c r="AL51" s="178"/>
      <c r="AM51" s="178"/>
      <c r="AN51" s="178"/>
      <c r="AO51" s="227"/>
      <c r="AP51" s="224"/>
      <c r="AQ51" s="227" t="s">
        <v>451</v>
      </c>
      <c r="AR51" s="275">
        <f>(VLOOKUP($B41,'Rate Tables'!$O$2:$P$8,2,FALSE))</f>
        <v>0.2697</v>
      </c>
      <c r="AS51" s="372">
        <f>VLOOKUP('F&amp;ARatesCalc'!$B$1,'F&amp;ARatesCalc'!$A$3:$B$5,2,FALSE)</f>
        <v>0.56999999999999995</v>
      </c>
    </row>
    <row r="52" spans="1:45" ht="13.5" customHeight="1" x14ac:dyDescent="0.25">
      <c r="A52" s="296"/>
      <c r="B52" s="116"/>
      <c r="C52" s="115"/>
      <c r="D52" s="178"/>
      <c r="E52" s="211">
        <f>E50</f>
        <v>10</v>
      </c>
      <c r="F52" s="190">
        <f>IF($D$4=2023,1,0)</f>
        <v>0</v>
      </c>
      <c r="G52" s="178">
        <f>IF($B47="Yes",$C$5,$I47)</f>
        <v>12</v>
      </c>
      <c r="H52" s="191">
        <f>H45</f>
        <v>3</v>
      </c>
      <c r="I52" s="212">
        <f>VLOOKUP(J45,'Lookup Tables'!$AB$22:$AC$31,2,FALSE)</f>
        <v>32</v>
      </c>
      <c r="J52" s="213">
        <f>VLOOKUP(U45,'Lookup Tables'!$AB$32:$AC$41,2,FALSE)</f>
        <v>33</v>
      </c>
      <c r="K52" s="203">
        <f>E52-J52</f>
        <v>-23</v>
      </c>
      <c r="L52" s="178">
        <f>IF(K52&gt;0,1,0)</f>
        <v>0</v>
      </c>
      <c r="M52" s="195">
        <f>M45</f>
        <v>0</v>
      </c>
      <c r="N52" s="196">
        <f>((((('Rate Tables'!C14*9)*0.02778)/5)*K52)*L52)*F52*M52</f>
        <v>0</v>
      </c>
      <c r="O52" s="197">
        <f>O45</f>
        <v>12</v>
      </c>
      <c r="P52" s="197">
        <f>IF(O52&lt;0,O52*0,1)*O52</f>
        <v>12</v>
      </c>
      <c r="Q52" s="203">
        <f>(E52-K52*F52*L52*M52)</f>
        <v>10</v>
      </c>
      <c r="R52" s="191">
        <f>S45</f>
        <v>3</v>
      </c>
      <c r="S52" s="212">
        <f>VLOOKUP(U45,'Lookup Tables'!$AB$22:$AC$31,2,FALSE)</f>
        <v>32</v>
      </c>
      <c r="T52" s="213">
        <f>VLOOKUP(AF45,'Lookup Tables'!$AB$32:$AC$41,2,FALSE)</f>
        <v>33</v>
      </c>
      <c r="U52" s="206">
        <f>Q52-T52</f>
        <v>-23</v>
      </c>
      <c r="V52" s="178">
        <f>IF(U52&gt;0,1,0)</f>
        <v>0</v>
      </c>
      <c r="W52" s="196">
        <f>((('Rate Tables'!D14*9)*0.02778)/5)*U52*F52*V52</f>
        <v>0</v>
      </c>
      <c r="X52" s="197">
        <f>AA45</f>
        <v>2</v>
      </c>
      <c r="Y52" s="178"/>
      <c r="Z52" s="195"/>
      <c r="AA52" s="178"/>
      <c r="AB52" s="197">
        <f>IF(X52&lt;0,X52*0,1)*X52</f>
        <v>2</v>
      </c>
      <c r="AC52" s="203">
        <f>Q52-(U52*V52)</f>
        <v>10</v>
      </c>
      <c r="AD52" s="178"/>
      <c r="AE52" s="191">
        <f>AE45</f>
        <v>1</v>
      </c>
      <c r="AF52" s="212">
        <f>VLOOKUP(AF45,'Lookup Tables'!$AB$22:$AC$31,2,FALSE)</f>
        <v>32</v>
      </c>
      <c r="AG52" s="213">
        <v>0</v>
      </c>
      <c r="AH52" s="208">
        <f>AC52-AG52</f>
        <v>10</v>
      </c>
      <c r="AI52" s="178">
        <f>IF(AH52&gt;0,1,0)</f>
        <v>1</v>
      </c>
      <c r="AJ52" s="196">
        <f>((('Rate Tables'!E14*9)*0.02778)/5)*AH52*AI52*F52</f>
        <v>0</v>
      </c>
      <c r="AK52" s="197">
        <f>AL45</f>
        <v>0</v>
      </c>
      <c r="AL52" s="178"/>
      <c r="AM52" s="178"/>
      <c r="AN52" s="178"/>
      <c r="AO52" s="227"/>
      <c r="AP52" s="12"/>
      <c r="AQ52" s="227" t="s">
        <v>452</v>
      </c>
      <c r="AR52" s="275">
        <f>_xlfn.IFNA(AR51,0)</f>
        <v>0.2697</v>
      </c>
      <c r="AS52" s="12" t="s">
        <v>417</v>
      </c>
    </row>
    <row r="53" spans="1:45" ht="13.5" customHeight="1" thickBot="1" x14ac:dyDescent="0.3">
      <c r="A53" s="296"/>
      <c r="B53" s="116"/>
      <c r="C53" s="114"/>
      <c r="D53" s="178"/>
      <c r="E53" s="178"/>
      <c r="F53" s="178"/>
      <c r="G53" s="491" t="s">
        <v>559</v>
      </c>
      <c r="H53" s="178">
        <f>AO50</f>
        <v>10</v>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307"/>
      <c r="AP53" s="12"/>
      <c r="AQ53" s="227" t="s">
        <v>453</v>
      </c>
      <c r="AR53" s="275">
        <f>IF(AR52=0,0,AR51)</f>
        <v>0.2697</v>
      </c>
      <c r="AS53" s="12">
        <f>(AR48+AR54)*AS51</f>
        <v>0</v>
      </c>
    </row>
    <row r="54" spans="1:45" ht="13.5" customHeight="1" thickBot="1" x14ac:dyDescent="0.3">
      <c r="A54" s="380">
        <f>Personnel!E22</f>
        <v>0</v>
      </c>
      <c r="B54" s="273">
        <f>Personnel!E23</f>
        <v>0</v>
      </c>
      <c r="C54" s="114"/>
      <c r="D54" s="178"/>
      <c r="E54" s="178"/>
      <c r="F54" s="178"/>
      <c r="G54" s="491" t="s">
        <v>560</v>
      </c>
      <c r="H54" s="178">
        <f>VLOOKUP(H50,'Lookup Tables'!$L$62:$Y$74,MATCH(G50,'Lookup Tables'!$L$62:$Y$62,FALSE))</f>
        <v>65</v>
      </c>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309"/>
      <c r="AP54" s="274"/>
      <c r="AQ54" s="278" t="s">
        <v>415</v>
      </c>
      <c r="AR54" s="279">
        <f>AR48*AR53</f>
        <v>0</v>
      </c>
      <c r="AS54" s="373">
        <f>AR48+AR54+AS53</f>
        <v>0</v>
      </c>
    </row>
    <row r="55" spans="1:45" ht="6" customHeight="1" thickBot="1" x14ac:dyDescent="0.3">
      <c r="A55" s="296"/>
      <c r="B55" s="116"/>
      <c r="C55" s="114"/>
      <c r="D55" s="178"/>
      <c r="E55" s="178"/>
      <c r="F55" s="178"/>
      <c r="G55" s="178"/>
      <c r="H55" s="178"/>
      <c r="I55" s="178"/>
      <c r="J55" s="178"/>
      <c r="K55" s="178"/>
      <c r="L55" s="178"/>
      <c r="M55" s="178"/>
      <c r="N55" s="178"/>
      <c r="O55" s="178"/>
      <c r="P55" s="178"/>
      <c r="Q55" s="178"/>
      <c r="R55" s="178"/>
      <c r="S55" s="178"/>
      <c r="T55" s="178"/>
      <c r="U55" s="178"/>
      <c r="V55" s="178"/>
      <c r="W55" s="178"/>
      <c r="X55" s="178"/>
      <c r="Y55" s="178"/>
      <c r="Z55" s="214"/>
      <c r="AA55" s="214"/>
      <c r="AB55" s="178"/>
      <c r="AC55" s="178"/>
      <c r="AD55" s="178"/>
      <c r="AE55" s="178"/>
      <c r="AF55" s="178"/>
      <c r="AG55" s="178"/>
      <c r="AH55" s="178"/>
      <c r="AI55" s="178"/>
      <c r="AJ55" s="178"/>
      <c r="AK55" s="178"/>
      <c r="AL55" s="178"/>
      <c r="AM55" s="178"/>
      <c r="AN55" s="178"/>
      <c r="AO55" s="227"/>
      <c r="AP55" s="12"/>
      <c r="AQ55" s="227"/>
      <c r="AR55" s="275"/>
      <c r="AS55" s="374"/>
    </row>
    <row r="56" spans="1:45" ht="13.5" customHeight="1" x14ac:dyDescent="0.25">
      <c r="A56" s="298" t="s">
        <v>174</v>
      </c>
      <c r="B56" s="294" t="s">
        <v>338</v>
      </c>
      <c r="C56" s="180" t="s">
        <v>605</v>
      </c>
      <c r="D56" s="181"/>
      <c r="E56" s="181"/>
      <c r="F56" s="181"/>
      <c r="G56" s="181"/>
      <c r="H56" s="181"/>
      <c r="I56" s="181"/>
      <c r="J56" s="181"/>
      <c r="K56" s="181"/>
      <c r="L56" s="181"/>
      <c r="M56" s="181"/>
      <c r="N56" s="181"/>
      <c r="O56" s="181">
        <v>21</v>
      </c>
      <c r="P56" s="181"/>
      <c r="Q56" s="181"/>
      <c r="R56" s="181"/>
      <c r="S56" s="181"/>
      <c r="T56" s="181"/>
      <c r="U56" s="181"/>
      <c r="V56" s="181"/>
      <c r="W56" s="181"/>
      <c r="X56" s="181"/>
      <c r="Y56" s="181"/>
      <c r="Z56" s="493">
        <v>44378</v>
      </c>
      <c r="AA56" s="493">
        <v>44742</v>
      </c>
      <c r="AB56" s="181"/>
      <c r="AC56" s="181"/>
      <c r="AD56" s="181"/>
      <c r="AE56" s="181"/>
      <c r="AF56" s="181"/>
      <c r="AG56" s="181"/>
      <c r="AH56" s="181"/>
      <c r="AI56" s="181"/>
      <c r="AJ56" s="181"/>
      <c r="AK56" s="181"/>
      <c r="AL56" s="181">
        <v>23</v>
      </c>
      <c r="AM56" s="181"/>
      <c r="AN56" s="181"/>
      <c r="AO56" s="282"/>
      <c r="AP56" s="144"/>
      <c r="AQ56" s="282"/>
      <c r="AR56" s="283"/>
      <c r="AS56" s="12"/>
    </row>
    <row r="57" spans="1:45" ht="13.5" customHeight="1" x14ac:dyDescent="0.25">
      <c r="A57" s="345">
        <f>Personnel!C28</f>
        <v>0</v>
      </c>
      <c r="B57" s="346" t="str">
        <f>Personnel!C27</f>
        <v>Faculty</v>
      </c>
      <c r="C57" s="347">
        <f>Personnel!C29</f>
        <v>0</v>
      </c>
      <c r="D57" s="178"/>
      <c r="E57" s="178"/>
      <c r="F57" s="178"/>
      <c r="G57" s="178"/>
      <c r="H57" s="178"/>
      <c r="I57" s="178"/>
      <c r="J57" s="178"/>
      <c r="K57" s="178"/>
      <c r="L57" s="178"/>
      <c r="M57" s="178"/>
      <c r="N57" s="178"/>
      <c r="O57" s="178">
        <v>22</v>
      </c>
      <c r="P57" s="178"/>
      <c r="Q57" s="178"/>
      <c r="R57" s="178"/>
      <c r="S57" s="178"/>
      <c r="T57" s="178"/>
      <c r="U57" s="178"/>
      <c r="V57" s="178"/>
      <c r="W57" s="178"/>
      <c r="X57" s="178"/>
      <c r="Y57" s="178"/>
      <c r="Z57" s="178"/>
      <c r="AA57" s="178">
        <v>23</v>
      </c>
      <c r="AB57" s="178"/>
      <c r="AC57" s="178"/>
      <c r="AD57" s="178"/>
      <c r="AE57" s="178"/>
      <c r="AF57" s="178"/>
      <c r="AG57" s="178"/>
      <c r="AH57" s="178"/>
      <c r="AI57" s="178"/>
      <c r="AJ57" s="178"/>
      <c r="AK57" s="178"/>
      <c r="AL57" s="178">
        <v>24</v>
      </c>
      <c r="AM57" s="178"/>
      <c r="AN57" s="178"/>
      <c r="AO57" s="306" t="s">
        <v>412</v>
      </c>
      <c r="AP57" s="348">
        <f>Personnel!G27</f>
        <v>0</v>
      </c>
      <c r="AQ57" s="276" t="s">
        <v>414</v>
      </c>
      <c r="AR57" s="277">
        <f>(N59+N61+Z59+Z61+AK59+AK61)*AP62</f>
        <v>0</v>
      </c>
      <c r="AS57" s="224"/>
    </row>
    <row r="58" spans="1:45" ht="13.5" customHeight="1" x14ac:dyDescent="0.25">
      <c r="A58" s="296"/>
      <c r="B58" s="116"/>
      <c r="C58" s="117" t="s">
        <v>30</v>
      </c>
      <c r="D58" s="178"/>
      <c r="E58" s="153" t="s">
        <v>16</v>
      </c>
      <c r="F58" s="153" t="s">
        <v>42</v>
      </c>
      <c r="G58" s="153" t="s">
        <v>41</v>
      </c>
      <c r="H58" s="183" t="s">
        <v>77</v>
      </c>
      <c r="I58" s="184" t="s">
        <v>90</v>
      </c>
      <c r="J58" s="185" t="s">
        <v>70</v>
      </c>
      <c r="K58" s="186" t="s">
        <v>93</v>
      </c>
      <c r="L58" s="153" t="s">
        <v>35</v>
      </c>
      <c r="M58" s="153" t="s">
        <v>82</v>
      </c>
      <c r="N58" s="153" t="s">
        <v>31</v>
      </c>
      <c r="O58" s="153" t="s">
        <v>69</v>
      </c>
      <c r="P58" s="153" t="s">
        <v>72</v>
      </c>
      <c r="Q58" s="183" t="s">
        <v>80</v>
      </c>
      <c r="R58" s="187" t="s">
        <v>81</v>
      </c>
      <c r="S58" s="183" t="s">
        <v>77</v>
      </c>
      <c r="T58" s="598" t="s">
        <v>83</v>
      </c>
      <c r="U58" s="185" t="s">
        <v>70</v>
      </c>
      <c r="V58" s="153" t="s">
        <v>91</v>
      </c>
      <c r="W58" s="153" t="s">
        <v>43</v>
      </c>
      <c r="X58" s="153" t="s">
        <v>53</v>
      </c>
      <c r="Y58" s="153" t="s">
        <v>68</v>
      </c>
      <c r="Z58" s="153" t="s">
        <v>32</v>
      </c>
      <c r="AA58" s="153" t="s">
        <v>69</v>
      </c>
      <c r="AB58" s="153" t="s">
        <v>72</v>
      </c>
      <c r="AC58" s="153" t="s">
        <v>80</v>
      </c>
      <c r="AD58" s="187" t="s">
        <v>81</v>
      </c>
      <c r="AE58" s="183" t="s">
        <v>77</v>
      </c>
      <c r="AF58" s="185" t="s">
        <v>70</v>
      </c>
      <c r="AG58" s="153" t="s">
        <v>92</v>
      </c>
      <c r="AH58" s="153" t="s">
        <v>44</v>
      </c>
      <c r="AI58" s="153" t="s">
        <v>78</v>
      </c>
      <c r="AJ58" s="153" t="s">
        <v>68</v>
      </c>
      <c r="AK58" s="153" t="s">
        <v>33</v>
      </c>
      <c r="AL58" s="153" t="s">
        <v>69</v>
      </c>
      <c r="AM58" s="153"/>
      <c r="AN58" s="178"/>
      <c r="AO58" s="227"/>
      <c r="AP58" s="349"/>
      <c r="AQ58" s="227"/>
      <c r="AR58" s="275"/>
      <c r="AS58" s="12"/>
    </row>
    <row r="59" spans="1:45" ht="13.5" customHeight="1" x14ac:dyDescent="0.25">
      <c r="A59" s="296"/>
      <c r="B59" s="116"/>
      <c r="C59" s="115"/>
      <c r="D59" s="178"/>
      <c r="E59" s="189">
        <f>AP57</f>
        <v>0</v>
      </c>
      <c r="F59" s="190">
        <f>IF($D$4=2022,1,0)</f>
        <v>1</v>
      </c>
      <c r="G59" s="178">
        <f>IF($B63="Yes",$C$5,$I63)</f>
        <v>12</v>
      </c>
      <c r="H59" s="191">
        <f>VLOOKUP(H62,'Lookup Tables'!$A$22:$B$33,2,FALSE)</f>
        <v>3</v>
      </c>
      <c r="I59" s="192">
        <f>VLOOKUP($E$4,'Lookup Tables'!$AB$46:$AN$58,MATCH($H59,'Lookup Tables'!$AB$46:$AN$46),FALSE)</f>
        <v>12</v>
      </c>
      <c r="J59" s="193">
        <f>VLOOKUP(H59,'Lookup Tables'!$A$3:$AA$16,MATCH(PersonCalcYr1!$G59,'Lookup Tables'!$A$3:$AA$3),FALSE)</f>
        <v>1.5161</v>
      </c>
      <c r="K59" s="194">
        <f>VLOOKUP($H62,'Lookup Tables'!$K$23:$L$34,2,FALSE)</f>
        <v>0</v>
      </c>
      <c r="L59" s="178">
        <f>IF(G59&lt;=K59,G59,K59)</f>
        <v>0</v>
      </c>
      <c r="M59" s="195">
        <f>IF(12-I59&gt;=1,1,0)</f>
        <v>0</v>
      </c>
      <c r="N59" s="196">
        <f>(('Rate Tables'!B19*PersonCalcYr1!E59)*PersonCalcYr1!L59)*PersonCalcYr1!F59*M59</f>
        <v>0</v>
      </c>
      <c r="O59" s="197">
        <f>G59-((J59+L59)*M59)</f>
        <v>12</v>
      </c>
      <c r="P59" s="197">
        <f>IF(O59&lt;0,O59*0,1)*O59</f>
        <v>12</v>
      </c>
      <c r="Q59" s="198">
        <f>H59+(L59*M59)+(J59*M59)</f>
        <v>3</v>
      </c>
      <c r="R59" s="199" t="str">
        <f>VLOOKUP(Q59,'Lookup Tables'!$A$38:$B$151,2,FALSE)</f>
        <v>Sept</v>
      </c>
      <c r="S59" s="191">
        <f>VLOOKUP(R59,'Lookup Tables'!$A$22:$B$33,2,FALSE)</f>
        <v>3</v>
      </c>
      <c r="T59" s="599">
        <f>VLOOKUP($E$4,'Lookup Tables'!$AB$63:$AN$75,MATCH(PersonCalcYr1!$S59,'Lookup Tables'!$AB$63:$AN$63),FALSE)</f>
        <v>0.5161</v>
      </c>
      <c r="U59" s="200">
        <f>VLOOKUP(S59,'Lookup Tables'!$A$3:$AA$16,MATCH(PersonCalcYr1!$P59,'Lookup Tables'!$A$3:$AA$3),FALSE)</f>
        <v>1.5161</v>
      </c>
      <c r="V59" s="496">
        <f>9-T59</f>
        <v>8.4839000000000002</v>
      </c>
      <c r="W59" s="201">
        <f>P59-U59</f>
        <v>10.4839</v>
      </c>
      <c r="X59" s="195">
        <f>IF(V59&lt;=W59,V59,W59)</f>
        <v>8.4839000000000002</v>
      </c>
      <c r="Y59" s="195">
        <f>IF(12-T59-U59-X59&gt;=0,1,0)</f>
        <v>1</v>
      </c>
      <c r="Z59" s="202">
        <f>((('Rate Tables'!C19*$E59)*PersonCalcYr1!$X59)*$F59)*Y59</f>
        <v>0</v>
      </c>
      <c r="AA59" s="197">
        <f>O59-(((U59*U63)+X59)*Y59)</f>
        <v>2</v>
      </c>
      <c r="AB59" s="197">
        <f>IF(AA59&lt;0,AA59*0,1)*AA59</f>
        <v>2</v>
      </c>
      <c r="AC59" s="601">
        <f>S59+(X59*Y59)+((U59*U63)*Y59)</f>
        <v>13</v>
      </c>
      <c r="AD59" s="199" t="str">
        <f>VLOOKUP(AC59,'Lookup Tables'!$A$38:$B$151,2,FALSE)</f>
        <v>July</v>
      </c>
      <c r="AE59" s="191">
        <f>VLOOKUP(AD59,'Lookup Tables'!$A$22:$B$33,2,FALSE)</f>
        <v>1</v>
      </c>
      <c r="AF59" s="200">
        <f>VLOOKUP(AE59,'Lookup Tables'!$A$3:$AA$16,MATCH(PersonCalcYr1!AB59,'Lookup Tables'!$A$3:$AA$3),FALSE)</f>
        <v>1.4839</v>
      </c>
      <c r="AG59" s="178">
        <v>9</v>
      </c>
      <c r="AH59" s="201">
        <f>AB59-AF59</f>
        <v>0.5161</v>
      </c>
      <c r="AI59" s="195">
        <f>IF(AG59&lt;=AH59,AG59,AH59)</f>
        <v>0.5161</v>
      </c>
      <c r="AJ59" s="195">
        <f>IF((AG59+AF59)&lt;=0,0,1)</f>
        <v>1</v>
      </c>
      <c r="AK59" s="204">
        <f>((('Rate Tables'!D19*$E59)*PersonCalcYr1!AI59)*$F59)*AJ59</f>
        <v>0</v>
      </c>
      <c r="AL59" s="197">
        <f>AB59-AF59-AI59</f>
        <v>0</v>
      </c>
      <c r="AM59" s="197"/>
      <c r="AN59" s="178"/>
      <c r="AO59" s="227"/>
      <c r="AP59" s="350"/>
      <c r="AQ59" s="227"/>
      <c r="AR59" s="275"/>
      <c r="AS59" s="12"/>
    </row>
    <row r="60" spans="1:45" ht="13.5" customHeight="1" x14ac:dyDescent="0.25">
      <c r="A60" s="296"/>
      <c r="B60" s="116"/>
      <c r="C60" s="117" t="s">
        <v>597</v>
      </c>
      <c r="D60" s="178"/>
      <c r="E60" s="153" t="s">
        <v>16</v>
      </c>
      <c r="F60" s="153" t="s">
        <v>42</v>
      </c>
      <c r="G60" s="153" t="s">
        <v>41</v>
      </c>
      <c r="H60" s="183" t="s">
        <v>77</v>
      </c>
      <c r="I60" s="184" t="s">
        <v>90</v>
      </c>
      <c r="J60" s="185" t="s">
        <v>70</v>
      </c>
      <c r="K60" s="186" t="s">
        <v>109</v>
      </c>
      <c r="L60" s="153" t="s">
        <v>53</v>
      </c>
      <c r="M60" s="153" t="s">
        <v>82</v>
      </c>
      <c r="N60" s="153" t="s">
        <v>32</v>
      </c>
      <c r="O60" s="153" t="s">
        <v>69</v>
      </c>
      <c r="P60" s="153" t="s">
        <v>72</v>
      </c>
      <c r="Q60" s="183" t="s">
        <v>80</v>
      </c>
      <c r="R60" s="187" t="s">
        <v>81</v>
      </c>
      <c r="S60" s="183" t="s">
        <v>77</v>
      </c>
      <c r="T60" s="598" t="s">
        <v>83</v>
      </c>
      <c r="U60" s="185" t="s">
        <v>70</v>
      </c>
      <c r="V60" s="153" t="s">
        <v>92</v>
      </c>
      <c r="W60" s="153" t="s">
        <v>44</v>
      </c>
      <c r="X60" s="153" t="s">
        <v>78</v>
      </c>
      <c r="Y60" s="153" t="s">
        <v>68</v>
      </c>
      <c r="Z60" s="153" t="s">
        <v>33</v>
      </c>
      <c r="AA60" s="153" t="s">
        <v>69</v>
      </c>
      <c r="AB60" s="153" t="s">
        <v>72</v>
      </c>
      <c r="AC60" s="153" t="s">
        <v>80</v>
      </c>
      <c r="AD60" s="187" t="s">
        <v>81</v>
      </c>
      <c r="AE60" s="183" t="s">
        <v>77</v>
      </c>
      <c r="AF60" s="185" t="s">
        <v>70</v>
      </c>
      <c r="AG60" s="153" t="s">
        <v>94</v>
      </c>
      <c r="AH60" s="153" t="s">
        <v>45</v>
      </c>
      <c r="AI60" s="153" t="s">
        <v>79</v>
      </c>
      <c r="AJ60" s="153" t="s">
        <v>68</v>
      </c>
      <c r="AK60" s="153" t="s">
        <v>34</v>
      </c>
      <c r="AL60" s="153" t="s">
        <v>69</v>
      </c>
      <c r="AM60" s="153"/>
      <c r="AN60" s="178"/>
      <c r="AO60" s="227"/>
      <c r="AP60" s="351"/>
      <c r="AQ60" s="227"/>
      <c r="AR60" s="275"/>
      <c r="AS60" s="12"/>
    </row>
    <row r="61" spans="1:45" ht="13.5" customHeight="1" x14ac:dyDescent="0.25">
      <c r="A61" s="296"/>
      <c r="B61" s="116"/>
      <c r="C61" s="115"/>
      <c r="D61" s="178"/>
      <c r="E61" s="189">
        <f>AP57</f>
        <v>0</v>
      </c>
      <c r="F61" s="190">
        <f>IF($D$4=2023,1,0)</f>
        <v>0</v>
      </c>
      <c r="G61" s="178">
        <f>IF($B63="Yes",$C$5,$I63)</f>
        <v>12</v>
      </c>
      <c r="H61" s="191">
        <f>VLOOKUP(H62,'Lookup Tables'!$A$22:$B$33,2,FALSE)</f>
        <v>3</v>
      </c>
      <c r="I61" s="192">
        <f>VLOOKUP($E$4,'Lookup Tables'!$AB$46:$AN$58,MATCH($H61,'Lookup Tables'!$AB$46:$AN$46),FALSE)</f>
        <v>12</v>
      </c>
      <c r="J61" s="193">
        <f>VLOOKUP(H61,'Lookup Tables'!$A$3:$AA$16,MATCH(PersonCalcYr1!$G61,'Lookup Tables'!$A$3:$AA$3),FALSE)</f>
        <v>1.5161</v>
      </c>
      <c r="K61" s="194">
        <f>VLOOKUP($H62,'Lookup Tables'!$K$23:$L$34,2,FALSE)</f>
        <v>0</v>
      </c>
      <c r="L61" s="178">
        <f>IF(G61&lt;=K61,G61,K61)</f>
        <v>0</v>
      </c>
      <c r="M61" s="195">
        <f>IF(12-I61&gt;=1,1,0)</f>
        <v>0</v>
      </c>
      <c r="N61" s="196">
        <f>(('Rate Tables'!C19*PersonCalcYr1!E61)*PersonCalcYr1!L61)*PersonCalcYr1!F61*M61</f>
        <v>0</v>
      </c>
      <c r="O61" s="197">
        <f>G61-((J61+L61)*M61)</f>
        <v>12</v>
      </c>
      <c r="P61" s="197">
        <f>IF(O61&lt;0,O61*0,1)*O61</f>
        <v>12</v>
      </c>
      <c r="Q61" s="198">
        <f>H61+(L61*M61)+(J61*M61)</f>
        <v>3</v>
      </c>
      <c r="R61" s="199" t="str">
        <f>VLOOKUP(Q61,'Lookup Tables'!$A$38:$B$151,2,FALSE)</f>
        <v>Sept</v>
      </c>
      <c r="S61" s="191">
        <f>VLOOKUP(R61,'Lookup Tables'!$A$22:$B$33,2,FALSE)</f>
        <v>3</v>
      </c>
      <c r="T61" s="599">
        <f>VLOOKUP($E$4,'Lookup Tables'!$AB$63:$AN$75,MATCH(PersonCalcYr1!$S61,'Lookup Tables'!$AB$63:$AN$63),FALSE)</f>
        <v>0.5161</v>
      </c>
      <c r="U61" s="200">
        <f>VLOOKUP(S61,'Lookup Tables'!$A$3:$AA$16,MATCH(PersonCalcYr1!$P61,'Lookup Tables'!$A$3:$AA$3),FALSE)</f>
        <v>1.5161</v>
      </c>
      <c r="V61" s="496">
        <f>9-T61</f>
        <v>8.4839000000000002</v>
      </c>
      <c r="W61" s="201">
        <f>P61-U61</f>
        <v>10.4839</v>
      </c>
      <c r="X61" s="195">
        <f>IF(V61&lt;=W61,V61,W61)</f>
        <v>8.4839000000000002</v>
      </c>
      <c r="Y61" s="195">
        <f>IF(12-T61-U61-X61&gt;=0,1,0)</f>
        <v>1</v>
      </c>
      <c r="Z61" s="202">
        <f>((('Rate Tables'!D19*$E61)*PersonCalcYr1!$X61)*$F61)*Y61</f>
        <v>0</v>
      </c>
      <c r="AA61" s="197">
        <f>O61-(((U61*U63)+X61)*Y61)</f>
        <v>2</v>
      </c>
      <c r="AB61" s="197">
        <f>IF(AA61&lt;0,AA61*0,1)*AA61</f>
        <v>2</v>
      </c>
      <c r="AC61" s="601">
        <f>S61+(X61*Y61)+((U61*U63)*Y61)</f>
        <v>13</v>
      </c>
      <c r="AD61" s="199" t="str">
        <f>VLOOKUP(AC61,'Lookup Tables'!$A$38:$B$151,2,FALSE)</f>
        <v>July</v>
      </c>
      <c r="AE61" s="191">
        <f>VLOOKUP(AD61,'Lookup Tables'!$A$22:$B$33,2,FALSE)</f>
        <v>1</v>
      </c>
      <c r="AF61" s="200">
        <f>VLOOKUP(AE61,'Lookup Tables'!$A$3:$AA$16,MATCH(PersonCalcYr1!AB61,'Lookup Tables'!$A$3:$AA$3),FALSE)</f>
        <v>1.4839</v>
      </c>
      <c r="AG61" s="178">
        <v>9</v>
      </c>
      <c r="AH61" s="201">
        <f>AB61-AF61</f>
        <v>0.5161</v>
      </c>
      <c r="AI61" s="195">
        <f>IF(AG61&lt;=AH61,AG61,AH61)</f>
        <v>0.5161</v>
      </c>
      <c r="AJ61" s="195">
        <f>IF((AG61+AF61)&lt;=0,0,1)</f>
        <v>1</v>
      </c>
      <c r="AK61" s="204">
        <f>((('Rate Tables'!E19*$E61)*PersonCalcYr1!AI61)*$F61)*AJ61</f>
        <v>0</v>
      </c>
      <c r="AL61" s="197">
        <f>AB61-AF61-AI61</f>
        <v>0</v>
      </c>
      <c r="AM61" s="197"/>
      <c r="AN61" s="178"/>
      <c r="AO61" s="227"/>
      <c r="AP61" s="349"/>
      <c r="AQ61" s="227"/>
      <c r="AR61" s="275"/>
      <c r="AS61" s="12"/>
    </row>
    <row r="62" spans="1:45" ht="13.5" customHeight="1" x14ac:dyDescent="0.25">
      <c r="A62" s="296"/>
      <c r="B62" s="116"/>
      <c r="C62" s="115"/>
      <c r="D62" s="178"/>
      <c r="E62" s="205"/>
      <c r="F62" s="190"/>
      <c r="G62" s="178" t="s">
        <v>430</v>
      </c>
      <c r="H62" s="178" t="str">
        <f>IF(B63="yes",$C$4,A70)</f>
        <v>Sept</v>
      </c>
      <c r="I62" s="178"/>
      <c r="J62" s="178"/>
      <c r="K62" s="178"/>
      <c r="L62" s="178"/>
      <c r="M62" s="206"/>
      <c r="N62" s="207"/>
      <c r="O62" s="208"/>
      <c r="P62" s="190"/>
      <c r="Q62" s="190"/>
      <c r="R62" s="190"/>
      <c r="S62" s="190"/>
      <c r="T62" s="190"/>
      <c r="U62" s="178"/>
      <c r="V62" s="201"/>
      <c r="W62" s="201"/>
      <c r="X62" s="178"/>
      <c r="Y62" s="206"/>
      <c r="Z62" s="207"/>
      <c r="AA62" s="208"/>
      <c r="AB62" s="202"/>
      <c r="AC62" s="202"/>
      <c r="AD62" s="202"/>
      <c r="AE62" s="202"/>
      <c r="AF62" s="203"/>
      <c r="AG62" s="201"/>
      <c r="AH62" s="201"/>
      <c r="AI62" s="178"/>
      <c r="AJ62" s="206"/>
      <c r="AK62" s="207"/>
      <c r="AL62" s="208"/>
      <c r="AM62" s="202"/>
      <c r="AN62" s="178"/>
      <c r="AO62" s="307" t="s">
        <v>450</v>
      </c>
      <c r="AP62" s="349">
        <f>IF(B57=0,0,1)</f>
        <v>1</v>
      </c>
      <c r="AQ62" s="227"/>
      <c r="AR62" s="275"/>
      <c r="AS62" s="12"/>
    </row>
    <row r="63" spans="1:45" ht="13.5" customHeight="1" x14ac:dyDescent="0.25">
      <c r="A63" s="37" t="s">
        <v>431</v>
      </c>
      <c r="B63" s="375" t="str">
        <f>Personnel!E27</f>
        <v>YES</v>
      </c>
      <c r="C63" s="115"/>
      <c r="D63" s="178"/>
      <c r="E63" s="205"/>
      <c r="F63" s="190"/>
      <c r="G63" s="491" t="s">
        <v>555</v>
      </c>
      <c r="H63" s="175">
        <f>IF(H64&lt;$C$5, H64,$C$5)</f>
        <v>12</v>
      </c>
      <c r="I63" s="178">
        <f>IF(B70&lt;=H64,B70,H64)</f>
        <v>0</v>
      </c>
      <c r="J63" s="178"/>
      <c r="K63" s="178"/>
      <c r="L63" s="178"/>
      <c r="M63" s="178"/>
      <c r="N63" s="178"/>
      <c r="O63" s="178"/>
      <c r="P63" s="190"/>
      <c r="Q63" s="190"/>
      <c r="R63" s="190"/>
      <c r="S63" s="190"/>
      <c r="T63" s="605" t="s">
        <v>573</v>
      </c>
      <c r="U63" s="606">
        <f>VLOOKUP($E$4,'Lookup Tables'!$L$79:$X$91,MATCH(PersonCalcYr1!$S59,'Lookup Tables'!$L$79:$X$79),FALSE)</f>
        <v>1</v>
      </c>
      <c r="V63" s="201"/>
      <c r="W63" s="201"/>
      <c r="X63" s="201"/>
      <c r="Y63" s="195"/>
      <c r="Z63" s="195"/>
      <c r="AA63" s="202"/>
      <c r="AB63" s="202"/>
      <c r="AC63" s="202"/>
      <c r="AD63" s="202"/>
      <c r="AE63" s="202"/>
      <c r="AF63" s="203"/>
      <c r="AG63" s="201"/>
      <c r="AH63" s="201"/>
      <c r="AI63" s="201"/>
      <c r="AJ63" s="201"/>
      <c r="AK63" s="202"/>
      <c r="AL63" s="202"/>
      <c r="AM63" s="202"/>
      <c r="AN63" s="178"/>
      <c r="AO63" s="370" t="s">
        <v>411</v>
      </c>
      <c r="AP63" s="352">
        <f>Personnel!G28</f>
        <v>0</v>
      </c>
      <c r="AQ63" s="276" t="s">
        <v>117</v>
      </c>
      <c r="AR63" s="277">
        <f>(N66+W66+AJ66+N68+W68+AJ68)*AP62</f>
        <v>0</v>
      </c>
      <c r="AS63" s="224"/>
    </row>
    <row r="64" spans="1:45" ht="13.5" customHeight="1" x14ac:dyDescent="0.25">
      <c r="A64" s="296" t="s">
        <v>439</v>
      </c>
      <c r="B64" s="114" t="s">
        <v>427</v>
      </c>
      <c r="C64" s="114"/>
      <c r="D64" s="178"/>
      <c r="E64" s="178"/>
      <c r="F64" s="178"/>
      <c r="G64" s="178"/>
      <c r="H64" s="175">
        <f>VLOOKUP($E$4,'Lookup Tables'!$L$46:$AA$58,MATCH($H$59,'Lookup Tables'!$L$46:$X$46),FALSE)</f>
        <v>12</v>
      </c>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227"/>
      <c r="AP64" s="12"/>
      <c r="AQ64" s="278" t="s">
        <v>96</v>
      </c>
      <c r="AR64" s="279">
        <f>AR57+AR63</f>
        <v>0</v>
      </c>
      <c r="AS64" s="369"/>
    </row>
    <row r="65" spans="1:45" ht="13.5" customHeight="1" x14ac:dyDescent="0.25">
      <c r="A65" s="296"/>
      <c r="B65" s="116"/>
      <c r="C65" s="117" t="s">
        <v>30</v>
      </c>
      <c r="D65" s="178"/>
      <c r="E65" s="153" t="s">
        <v>84</v>
      </c>
      <c r="F65" s="153" t="s">
        <v>42</v>
      </c>
      <c r="G65" s="153" t="s">
        <v>41</v>
      </c>
      <c r="H65" s="183" t="s">
        <v>77</v>
      </c>
      <c r="I65" s="209" t="s">
        <v>101</v>
      </c>
      <c r="J65" s="210" t="s">
        <v>102</v>
      </c>
      <c r="K65" s="153" t="s">
        <v>98</v>
      </c>
      <c r="L65" s="153" t="s">
        <v>100</v>
      </c>
      <c r="M65" s="153" t="s">
        <v>82</v>
      </c>
      <c r="N65" s="153" t="s">
        <v>31</v>
      </c>
      <c r="O65" s="153" t="s">
        <v>69</v>
      </c>
      <c r="P65" s="153" t="s">
        <v>72</v>
      </c>
      <c r="Q65" s="153" t="s">
        <v>103</v>
      </c>
      <c r="R65" s="183" t="s">
        <v>77</v>
      </c>
      <c r="S65" s="209" t="s">
        <v>101</v>
      </c>
      <c r="T65" s="210" t="s">
        <v>102</v>
      </c>
      <c r="U65" s="178" t="s">
        <v>98</v>
      </c>
      <c r="V65" s="153" t="s">
        <v>100</v>
      </c>
      <c r="W65" s="153" t="s">
        <v>32</v>
      </c>
      <c r="X65" s="153" t="s">
        <v>69</v>
      </c>
      <c r="Y65" s="153"/>
      <c r="Z65" s="153"/>
      <c r="AA65" s="178"/>
      <c r="AB65" s="153" t="s">
        <v>72</v>
      </c>
      <c r="AC65" s="153" t="s">
        <v>103</v>
      </c>
      <c r="AD65" s="153"/>
      <c r="AE65" s="183" t="s">
        <v>77</v>
      </c>
      <c r="AF65" s="209" t="s">
        <v>101</v>
      </c>
      <c r="AG65" s="210" t="s">
        <v>102</v>
      </c>
      <c r="AH65" s="178" t="s">
        <v>98</v>
      </c>
      <c r="AI65" s="153" t="s">
        <v>100</v>
      </c>
      <c r="AJ65" s="153" t="s">
        <v>33</v>
      </c>
      <c r="AK65" s="153" t="s">
        <v>69</v>
      </c>
      <c r="AL65" s="178"/>
      <c r="AM65" s="153"/>
      <c r="AN65" s="178"/>
      <c r="AO65" s="276" t="s">
        <v>95</v>
      </c>
      <c r="AP65" s="12"/>
      <c r="AQ65" s="227"/>
      <c r="AR65" s="275"/>
      <c r="AS65" s="12"/>
    </row>
    <row r="66" spans="1:45" ht="13.5" customHeight="1" x14ac:dyDescent="0.25">
      <c r="A66" s="296"/>
      <c r="B66" s="116"/>
      <c r="C66" s="115"/>
      <c r="D66" s="178"/>
      <c r="E66" s="211">
        <f>IF(H69&lt;=H70,H69,H70)</f>
        <v>0</v>
      </c>
      <c r="F66" s="190">
        <f>IF($D$4=2022,1,0)</f>
        <v>1</v>
      </c>
      <c r="G66" s="178">
        <f>IF($B63="Yes",$C$5,$I63)</f>
        <v>12</v>
      </c>
      <c r="H66" s="191">
        <f>H59</f>
        <v>3</v>
      </c>
      <c r="I66" s="212">
        <f>VLOOKUP(J59,'Lookup Tables'!$AB$22:$AC$31,2,FALSE)</f>
        <v>32</v>
      </c>
      <c r="J66" s="213">
        <f>VLOOKUP(U59,'Lookup Tables'!$AB$32:$AC$41,2,FALSE)</f>
        <v>33</v>
      </c>
      <c r="K66" s="203">
        <f>E66-J66</f>
        <v>-33</v>
      </c>
      <c r="L66" s="178">
        <f>IF(K66&gt;0,1,0)</f>
        <v>0</v>
      </c>
      <c r="M66" s="195">
        <f>M59</f>
        <v>0</v>
      </c>
      <c r="N66" s="196">
        <f>((((('Rate Tables'!B19*9)*0.02778)/5)*K66)*L66)*F66*M66</f>
        <v>0</v>
      </c>
      <c r="O66" s="197">
        <f>O59</f>
        <v>12</v>
      </c>
      <c r="P66" s="197">
        <f>IF(O66&lt;0,O66*0,1)*O66</f>
        <v>12</v>
      </c>
      <c r="Q66" s="203">
        <f>(E66-K66*F66*L66*M66)</f>
        <v>0</v>
      </c>
      <c r="R66" s="191">
        <f>S59</f>
        <v>3</v>
      </c>
      <c r="S66" s="212">
        <f>VLOOKUP(U59,'Lookup Tables'!$AB$22:$AC$31,2,FALSE)</f>
        <v>32</v>
      </c>
      <c r="T66" s="213">
        <f>VLOOKUP(AF59,'Lookup Tables'!$AB$32:$AC$41,2,FALSE)</f>
        <v>33</v>
      </c>
      <c r="U66" s="206">
        <f>Q66-T66</f>
        <v>-33</v>
      </c>
      <c r="V66" s="178">
        <f>IF(U66&gt;0,1,0)</f>
        <v>0</v>
      </c>
      <c r="W66" s="196">
        <f>((('Rate Tables'!C19*9)*0.02778)/5)*U66*F66*V66</f>
        <v>0</v>
      </c>
      <c r="X66" s="197">
        <f>AA59</f>
        <v>2</v>
      </c>
      <c r="Y66" s="178"/>
      <c r="Z66" s="195"/>
      <c r="AA66" s="178"/>
      <c r="AB66" s="197">
        <f>IF(X66&lt;0,X66*0,1)*X66</f>
        <v>2</v>
      </c>
      <c r="AC66" s="203">
        <f>Q66-(U66*V66)</f>
        <v>0</v>
      </c>
      <c r="AD66" s="178"/>
      <c r="AE66" s="191">
        <f>AE59</f>
        <v>1</v>
      </c>
      <c r="AF66" s="212">
        <f>VLOOKUP(AF59,'Lookup Tables'!$AB$22:$AC$31,2,FALSE)</f>
        <v>32</v>
      </c>
      <c r="AG66" s="213">
        <v>0</v>
      </c>
      <c r="AH66" s="208">
        <f>AC66-AG66</f>
        <v>0</v>
      </c>
      <c r="AI66" s="178">
        <f>IF(AH66&gt;0,1,0)</f>
        <v>0</v>
      </c>
      <c r="AJ66" s="196">
        <f>((('Rate Tables'!D19*9)*0.02778)/5)*AH66*AI66*F66</f>
        <v>0</v>
      </c>
      <c r="AK66" s="197">
        <f>AL59</f>
        <v>0</v>
      </c>
      <c r="AL66" s="178"/>
      <c r="AM66" s="197"/>
      <c r="AN66" s="178"/>
      <c r="AO66" s="308">
        <f>AP63</f>
        <v>0</v>
      </c>
      <c r="AP66" s="225"/>
      <c r="AQ66" s="227"/>
      <c r="AR66" s="275"/>
      <c r="AS66" s="12" t="s">
        <v>418</v>
      </c>
    </row>
    <row r="67" spans="1:45" ht="13.5" customHeight="1" x14ac:dyDescent="0.25">
      <c r="A67" s="296"/>
      <c r="B67" s="116"/>
      <c r="C67" s="117" t="s">
        <v>597</v>
      </c>
      <c r="D67" s="178"/>
      <c r="E67" s="153" t="s">
        <v>84</v>
      </c>
      <c r="F67" s="153" t="s">
        <v>42</v>
      </c>
      <c r="G67" s="153" t="s">
        <v>41</v>
      </c>
      <c r="H67" s="183" t="s">
        <v>77</v>
      </c>
      <c r="I67" s="209" t="s">
        <v>105</v>
      </c>
      <c r="J67" s="210" t="s">
        <v>106</v>
      </c>
      <c r="K67" s="153" t="s">
        <v>99</v>
      </c>
      <c r="L67" s="153" t="s">
        <v>100</v>
      </c>
      <c r="M67" s="153" t="s">
        <v>82</v>
      </c>
      <c r="N67" s="153" t="s">
        <v>32</v>
      </c>
      <c r="O67" s="153" t="s">
        <v>69</v>
      </c>
      <c r="P67" s="153" t="s">
        <v>72</v>
      </c>
      <c r="Q67" s="153" t="s">
        <v>103</v>
      </c>
      <c r="R67" s="183" t="s">
        <v>77</v>
      </c>
      <c r="S67" s="209" t="s">
        <v>105</v>
      </c>
      <c r="T67" s="210" t="s">
        <v>106</v>
      </c>
      <c r="U67" s="178" t="s">
        <v>98</v>
      </c>
      <c r="V67" s="153" t="s">
        <v>100</v>
      </c>
      <c r="W67" s="153" t="s">
        <v>33</v>
      </c>
      <c r="X67" s="153" t="s">
        <v>69</v>
      </c>
      <c r="Y67" s="153"/>
      <c r="Z67" s="153"/>
      <c r="AA67" s="178"/>
      <c r="AB67" s="153" t="s">
        <v>72</v>
      </c>
      <c r="AC67" s="153" t="s">
        <v>104</v>
      </c>
      <c r="AD67" s="153"/>
      <c r="AE67" s="183" t="s">
        <v>77</v>
      </c>
      <c r="AF67" s="209" t="s">
        <v>105</v>
      </c>
      <c r="AG67" s="210" t="s">
        <v>106</v>
      </c>
      <c r="AH67" s="178" t="s">
        <v>98</v>
      </c>
      <c r="AI67" s="153" t="s">
        <v>100</v>
      </c>
      <c r="AJ67" s="153" t="s">
        <v>34</v>
      </c>
      <c r="AK67" s="153" t="s">
        <v>69</v>
      </c>
      <c r="AL67" s="178"/>
      <c r="AM67" s="178"/>
      <c r="AN67" s="178"/>
      <c r="AO67" s="227"/>
      <c r="AP67" s="224"/>
      <c r="AQ67" s="227" t="s">
        <v>451</v>
      </c>
      <c r="AR67" s="275">
        <f>(VLOOKUP($B57,'Rate Tables'!$O$2:$P$8,2,FALSE))</f>
        <v>0.2697</v>
      </c>
      <c r="AS67" s="372">
        <f>VLOOKUP('F&amp;ARatesCalc'!$B$1,'F&amp;ARatesCalc'!$A$3:$B$5,2,FALSE)</f>
        <v>0.56999999999999995</v>
      </c>
    </row>
    <row r="68" spans="1:45" ht="13.5" customHeight="1" x14ac:dyDescent="0.25">
      <c r="A68" s="296"/>
      <c r="B68" s="116"/>
      <c r="C68" s="115"/>
      <c r="D68" s="178"/>
      <c r="E68" s="211">
        <f>E66</f>
        <v>0</v>
      </c>
      <c r="F68" s="190">
        <f>IF($D$4=2023,1,0)</f>
        <v>0</v>
      </c>
      <c r="G68" s="178">
        <f>IF($B63="Yes",$C$5,$I63)</f>
        <v>12</v>
      </c>
      <c r="H68" s="191">
        <f>H61</f>
        <v>3</v>
      </c>
      <c r="I68" s="212">
        <f>VLOOKUP(J61,'Lookup Tables'!$AB$22:$AC$31,2,FALSE)</f>
        <v>32</v>
      </c>
      <c r="J68" s="213">
        <f>VLOOKUP(U61,'Lookup Tables'!$AB$32:$AC$41,2,FALSE)</f>
        <v>33</v>
      </c>
      <c r="K68" s="203">
        <f>E68-J68</f>
        <v>-33</v>
      </c>
      <c r="L68" s="178">
        <f>IF(K68&gt;0,1,0)</f>
        <v>0</v>
      </c>
      <c r="M68" s="195">
        <f>M61</f>
        <v>0</v>
      </c>
      <c r="N68" s="196">
        <f>((((('Rate Tables'!C19*9)*0.02778)/5)*K68)*L68)*F68*M68</f>
        <v>0</v>
      </c>
      <c r="O68" s="197">
        <f>O61</f>
        <v>12</v>
      </c>
      <c r="P68" s="197">
        <f>IF(O68&lt;0,O68*0,1)*O68</f>
        <v>12</v>
      </c>
      <c r="Q68" s="203">
        <f>(E68-K68*F68*L68*M68)</f>
        <v>0</v>
      </c>
      <c r="R68" s="191">
        <f>S61</f>
        <v>3</v>
      </c>
      <c r="S68" s="212">
        <f>VLOOKUP(U61,'Lookup Tables'!$AB$22:$AC$31,2,FALSE)</f>
        <v>32</v>
      </c>
      <c r="T68" s="213">
        <f>VLOOKUP(AF61,'Lookup Tables'!$AB$32:$AC$41,2,FALSE)</f>
        <v>33</v>
      </c>
      <c r="U68" s="206">
        <f>Q68-T68</f>
        <v>-33</v>
      </c>
      <c r="V68" s="178">
        <f>IF(U68&gt;0,1,0)</f>
        <v>0</v>
      </c>
      <c r="W68" s="196">
        <f>((('Rate Tables'!D19*9)*0.02778)/5)*U68*F68*V68</f>
        <v>0</v>
      </c>
      <c r="X68" s="197">
        <f>AA61</f>
        <v>2</v>
      </c>
      <c r="Y68" s="178"/>
      <c r="Z68" s="195"/>
      <c r="AA68" s="178"/>
      <c r="AB68" s="197">
        <f>IF(X68&lt;0,X68*0,1)*X68</f>
        <v>2</v>
      </c>
      <c r="AC68" s="203">
        <f>Q68-(U68*V68)</f>
        <v>0</v>
      </c>
      <c r="AD68" s="178"/>
      <c r="AE68" s="191">
        <f>AE61</f>
        <v>1</v>
      </c>
      <c r="AF68" s="212">
        <f>VLOOKUP(AF61,'Lookup Tables'!$AB$22:$AC$31,2,FALSE)</f>
        <v>32</v>
      </c>
      <c r="AG68" s="213">
        <v>0</v>
      </c>
      <c r="AH68" s="208">
        <f>AC68-AG68</f>
        <v>0</v>
      </c>
      <c r="AI68" s="178">
        <f>IF(AH68&gt;0,1,0)</f>
        <v>0</v>
      </c>
      <c r="AJ68" s="196">
        <f>((('Rate Tables'!E19*9)*0.02778)/5)*AH68*AI68*F68</f>
        <v>0</v>
      </c>
      <c r="AK68" s="197">
        <f>AL61</f>
        <v>0</v>
      </c>
      <c r="AL68" s="178"/>
      <c r="AM68" s="178"/>
      <c r="AN68" s="178"/>
      <c r="AO68" s="227"/>
      <c r="AP68" s="12"/>
      <c r="AQ68" s="227" t="s">
        <v>452</v>
      </c>
      <c r="AR68" s="275">
        <f>_xlfn.IFNA(AR67,0)</f>
        <v>0.2697</v>
      </c>
      <c r="AS68" s="12" t="s">
        <v>417</v>
      </c>
    </row>
    <row r="69" spans="1:45" ht="13.5" customHeight="1" thickBot="1" x14ac:dyDescent="0.3">
      <c r="A69" s="296"/>
      <c r="B69" s="116"/>
      <c r="C69" s="114"/>
      <c r="D69" s="178"/>
      <c r="E69" s="178"/>
      <c r="F69" s="178"/>
      <c r="G69" s="491" t="s">
        <v>559</v>
      </c>
      <c r="H69" s="178">
        <f>AO66</f>
        <v>0</v>
      </c>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307"/>
      <c r="AP69" s="12"/>
      <c r="AQ69" s="227" t="s">
        <v>453</v>
      </c>
      <c r="AR69" s="275">
        <f>IF(AR68=0,0,AR67)</f>
        <v>0.2697</v>
      </c>
      <c r="AS69" s="12">
        <f>(AR64+AR70)*AS67</f>
        <v>0</v>
      </c>
    </row>
    <row r="70" spans="1:45" ht="13.5" customHeight="1" thickBot="1" x14ac:dyDescent="0.3">
      <c r="A70" s="380">
        <f>Personnel!E28</f>
        <v>0</v>
      </c>
      <c r="B70" s="273">
        <f>Personnel!E29</f>
        <v>0</v>
      </c>
      <c r="C70" s="114"/>
      <c r="D70" s="178"/>
      <c r="E70" s="178"/>
      <c r="F70" s="178"/>
      <c r="G70" s="491" t="s">
        <v>560</v>
      </c>
      <c r="H70" s="178">
        <f>VLOOKUP(H66,'Lookup Tables'!$L$62:$Y$74,MATCH(G66,'Lookup Tables'!$L$62:$Y$62,FALSE))</f>
        <v>65</v>
      </c>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309"/>
      <c r="AP70" s="274"/>
      <c r="AQ70" s="278" t="s">
        <v>415</v>
      </c>
      <c r="AR70" s="279">
        <f>AR64*AR69</f>
        <v>0</v>
      </c>
      <c r="AS70" s="373">
        <f>AR64+AR70+AS69</f>
        <v>0</v>
      </c>
    </row>
    <row r="71" spans="1:45" ht="6" customHeight="1" thickBot="1" x14ac:dyDescent="0.3">
      <c r="A71" s="297"/>
      <c r="B71" s="295"/>
      <c r="C71" s="291"/>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80"/>
      <c r="AP71" s="149"/>
      <c r="AQ71" s="280"/>
      <c r="AR71" s="281"/>
      <c r="AS71" s="374"/>
    </row>
    <row r="72" spans="1:45" ht="13.5" customHeight="1" x14ac:dyDescent="0.25">
      <c r="A72" s="296" t="s">
        <v>174</v>
      </c>
      <c r="B72" s="162" t="s">
        <v>339</v>
      </c>
      <c r="C72" s="259" t="s">
        <v>605</v>
      </c>
      <c r="D72" s="178"/>
      <c r="E72" s="178"/>
      <c r="F72" s="178"/>
      <c r="G72" s="178"/>
      <c r="H72" s="178"/>
      <c r="I72" s="178"/>
      <c r="J72" s="178"/>
      <c r="K72" s="178"/>
      <c r="L72" s="178"/>
      <c r="M72" s="178"/>
      <c r="N72" s="178"/>
      <c r="O72" s="178">
        <v>21</v>
      </c>
      <c r="P72" s="178"/>
      <c r="Q72" s="178"/>
      <c r="R72" s="178"/>
      <c r="S72" s="178"/>
      <c r="T72" s="178"/>
      <c r="U72" s="178"/>
      <c r="V72" s="178"/>
      <c r="W72" s="178"/>
      <c r="X72" s="178"/>
      <c r="Y72" s="178"/>
      <c r="Z72" s="493">
        <v>44378</v>
      </c>
      <c r="AA72" s="493">
        <v>44742</v>
      </c>
      <c r="AB72" s="178"/>
      <c r="AC72" s="178"/>
      <c r="AD72" s="178"/>
      <c r="AE72" s="178"/>
      <c r="AF72" s="178"/>
      <c r="AG72" s="178"/>
      <c r="AH72" s="178"/>
      <c r="AI72" s="178"/>
      <c r="AJ72" s="178"/>
      <c r="AK72" s="178"/>
      <c r="AL72" s="178">
        <v>23</v>
      </c>
      <c r="AM72" s="178"/>
      <c r="AN72" s="178"/>
      <c r="AO72" s="227"/>
      <c r="AP72" s="12"/>
      <c r="AQ72" s="227"/>
      <c r="AR72" s="275"/>
      <c r="AS72" s="12"/>
    </row>
    <row r="73" spans="1:45" ht="13.5" customHeight="1" x14ac:dyDescent="0.25">
      <c r="A73" s="345">
        <f>Personnel!C34</f>
        <v>0</v>
      </c>
      <c r="B73" s="346" t="str">
        <f>Personnel!C33</f>
        <v>Faculty</v>
      </c>
      <c r="C73" s="347">
        <f>Personnel!C35</f>
        <v>0</v>
      </c>
      <c r="D73" s="178"/>
      <c r="E73" s="178"/>
      <c r="F73" s="178"/>
      <c r="G73" s="178"/>
      <c r="H73" s="178"/>
      <c r="I73" s="178"/>
      <c r="J73" s="178"/>
      <c r="K73" s="178"/>
      <c r="L73" s="178"/>
      <c r="M73" s="178"/>
      <c r="N73" s="178"/>
      <c r="O73" s="178">
        <v>22</v>
      </c>
      <c r="P73" s="178"/>
      <c r="Q73" s="178"/>
      <c r="R73" s="178"/>
      <c r="S73" s="178"/>
      <c r="T73" s="178"/>
      <c r="U73" s="178"/>
      <c r="V73" s="178"/>
      <c r="W73" s="178"/>
      <c r="X73" s="178"/>
      <c r="Y73" s="178"/>
      <c r="Z73" s="178"/>
      <c r="AA73" s="178">
        <v>23</v>
      </c>
      <c r="AB73" s="178"/>
      <c r="AC73" s="178"/>
      <c r="AD73" s="178"/>
      <c r="AE73" s="178"/>
      <c r="AF73" s="178"/>
      <c r="AG73" s="178"/>
      <c r="AH73" s="178"/>
      <c r="AI73" s="178"/>
      <c r="AJ73" s="178"/>
      <c r="AK73" s="178"/>
      <c r="AL73" s="178">
        <v>24</v>
      </c>
      <c r="AM73" s="178"/>
      <c r="AN73" s="178"/>
      <c r="AO73" s="306" t="s">
        <v>412</v>
      </c>
      <c r="AP73" s="348">
        <f>Personnel!G33</f>
        <v>0</v>
      </c>
      <c r="AQ73" s="276" t="s">
        <v>414</v>
      </c>
      <c r="AR73" s="277">
        <f>(N75+N77+Z75+Z77+AK75+AK77)*AP78</f>
        <v>0</v>
      </c>
      <c r="AS73" s="224"/>
    </row>
    <row r="74" spans="1:45" ht="13.5" customHeight="1" x14ac:dyDescent="0.25">
      <c r="A74" s="296"/>
      <c r="B74" s="116"/>
      <c r="C74" s="117" t="s">
        <v>30</v>
      </c>
      <c r="D74" s="178"/>
      <c r="E74" s="153" t="s">
        <v>16</v>
      </c>
      <c r="F74" s="153" t="s">
        <v>42</v>
      </c>
      <c r="G74" s="153" t="s">
        <v>41</v>
      </c>
      <c r="H74" s="183" t="s">
        <v>77</v>
      </c>
      <c r="I74" s="184" t="s">
        <v>90</v>
      </c>
      <c r="J74" s="185" t="s">
        <v>70</v>
      </c>
      <c r="K74" s="186" t="s">
        <v>93</v>
      </c>
      <c r="L74" s="153" t="s">
        <v>35</v>
      </c>
      <c r="M74" s="153" t="s">
        <v>82</v>
      </c>
      <c r="N74" s="153" t="s">
        <v>31</v>
      </c>
      <c r="O74" s="135" t="s">
        <v>69</v>
      </c>
      <c r="P74" s="153" t="s">
        <v>72</v>
      </c>
      <c r="Q74" s="183" t="s">
        <v>80</v>
      </c>
      <c r="R74" s="187" t="s">
        <v>81</v>
      </c>
      <c r="S74" s="183" t="s">
        <v>77</v>
      </c>
      <c r="T74" s="598" t="s">
        <v>83</v>
      </c>
      <c r="U74" s="185" t="s">
        <v>70</v>
      </c>
      <c r="V74" s="153" t="s">
        <v>91</v>
      </c>
      <c r="W74" s="153" t="s">
        <v>43</v>
      </c>
      <c r="X74" s="153" t="s">
        <v>53</v>
      </c>
      <c r="Y74" s="153" t="s">
        <v>68</v>
      </c>
      <c r="Z74" s="153" t="s">
        <v>32</v>
      </c>
      <c r="AA74" s="135" t="s">
        <v>69</v>
      </c>
      <c r="AB74" s="153" t="s">
        <v>72</v>
      </c>
      <c r="AC74" s="153" t="s">
        <v>80</v>
      </c>
      <c r="AD74" s="187" t="s">
        <v>81</v>
      </c>
      <c r="AE74" s="183" t="s">
        <v>77</v>
      </c>
      <c r="AF74" s="185" t="s">
        <v>70</v>
      </c>
      <c r="AG74" s="153" t="s">
        <v>92</v>
      </c>
      <c r="AH74" s="153" t="s">
        <v>44</v>
      </c>
      <c r="AI74" s="153" t="s">
        <v>78</v>
      </c>
      <c r="AJ74" s="153" t="s">
        <v>68</v>
      </c>
      <c r="AK74" s="153" t="s">
        <v>33</v>
      </c>
      <c r="AL74" s="135" t="s">
        <v>69</v>
      </c>
      <c r="AM74" s="153"/>
      <c r="AN74" s="178"/>
      <c r="AO74" s="227"/>
      <c r="AP74" s="349"/>
      <c r="AQ74" s="227"/>
      <c r="AR74" s="275"/>
      <c r="AS74" s="12"/>
    </row>
    <row r="75" spans="1:45" ht="13.5" customHeight="1" x14ac:dyDescent="0.25">
      <c r="A75" s="296"/>
      <c r="B75" s="116"/>
      <c r="C75" s="115"/>
      <c r="D75" s="178"/>
      <c r="E75" s="189">
        <f>AP$73</f>
        <v>0</v>
      </c>
      <c r="F75" s="190">
        <f>IF($D$4=2022,1,0)</f>
        <v>1</v>
      </c>
      <c r="G75" s="178">
        <f>IF($B79="Yes",$C$5,$I79)</f>
        <v>12</v>
      </c>
      <c r="H75" s="191">
        <f>VLOOKUP(H78,'Lookup Tables'!$A$22:$B$33,2,FALSE)</f>
        <v>3</v>
      </c>
      <c r="I75" s="192">
        <f>VLOOKUP($E$4,'Lookup Tables'!$AB$46:$AN$58,MATCH($H75,'Lookup Tables'!$AB$46:$AN$46),FALSE)</f>
        <v>12</v>
      </c>
      <c r="J75" s="193">
        <f>VLOOKUP(H75,'Lookup Tables'!$A$3:$AA$16,MATCH(PersonCalcYr1!$G$75,'Lookup Tables'!$A$3:$AA$3),FALSE)</f>
        <v>1.5161</v>
      </c>
      <c r="K75" s="194">
        <f>VLOOKUP($H78,'Lookup Tables'!$K$23:$L$34,2,FALSE)</f>
        <v>0</v>
      </c>
      <c r="L75" s="178">
        <f>IF(G75&lt;=K75,G75,K75)</f>
        <v>0</v>
      </c>
      <c r="M75" s="195">
        <f>IF(12-I75&gt;=1,1,0)</f>
        <v>0</v>
      </c>
      <c r="N75" s="196">
        <f>(('Rate Tables'!B24*PersonCalcYr1!E75)*PersonCalcYr1!L75)*PersonCalcYr1!F75*M75</f>
        <v>0</v>
      </c>
      <c r="O75" s="197">
        <f>G75-((J75+L75)*M75)</f>
        <v>12</v>
      </c>
      <c r="P75" s="197">
        <f>IF(O75&lt;0,O75*0,1)*O75</f>
        <v>12</v>
      </c>
      <c r="Q75" s="198">
        <f>H75+(L75*M75)+(J75*M75)</f>
        <v>3</v>
      </c>
      <c r="R75" s="199" t="str">
        <f>VLOOKUP(Q75,'Lookup Tables'!$A$38:$B$151,2,FALSE)</f>
        <v>Sept</v>
      </c>
      <c r="S75" s="191">
        <f>VLOOKUP(R75,'Lookup Tables'!$A$22:$B$33,2,FALSE)</f>
        <v>3</v>
      </c>
      <c r="T75" s="599">
        <f>VLOOKUP($E$4,'Lookup Tables'!$AB$63:$AN$75,MATCH(PersonCalcYr1!$S75,'Lookup Tables'!$AB$63:$AN$63),FALSE)</f>
        <v>0.5161</v>
      </c>
      <c r="U75" s="200">
        <f>VLOOKUP(S75,'Lookup Tables'!$A$3:$AA$16,MATCH(PersonCalcYr1!$P$75,'Lookup Tables'!$A$3:$AA$3),FALSE)</f>
        <v>1.5161</v>
      </c>
      <c r="V75" s="496">
        <f>9-T75</f>
        <v>8.4839000000000002</v>
      </c>
      <c r="W75" s="201">
        <f>P75-U75</f>
        <v>10.4839</v>
      </c>
      <c r="X75" s="195">
        <f>IF(V75&lt;=W75,V75,W75)</f>
        <v>8.4839000000000002</v>
      </c>
      <c r="Y75" s="195">
        <f>IF(12-T75-U75-X75&gt;=0,1,0)</f>
        <v>1</v>
      </c>
      <c r="Z75" s="202">
        <f>((('Rate Tables'!C24*$E75)*PersonCalcYr1!$X75)*$F75)*Y75</f>
        <v>0</v>
      </c>
      <c r="AA75" s="197">
        <f>O75-(((U75*U79)+X75)*Y75)</f>
        <v>2</v>
      </c>
      <c r="AB75" s="197">
        <f>IF(AA75&lt;0,AA75*0,1)*AA75</f>
        <v>2</v>
      </c>
      <c r="AC75" s="601">
        <f>S75+(X75*Y75)+((U75*U79)*Y75)</f>
        <v>13</v>
      </c>
      <c r="AD75" s="199" t="str">
        <f>VLOOKUP(AC75,'Lookup Tables'!$A$38:$B$151,2,FALSE)</f>
        <v>July</v>
      </c>
      <c r="AE75" s="191">
        <f>VLOOKUP(AD75,'Lookup Tables'!$A$22:$B$33,2,FALSE)</f>
        <v>1</v>
      </c>
      <c r="AF75" s="200">
        <f>VLOOKUP(AE75,'Lookup Tables'!$A$3:$AA$16,MATCH(PersonCalcYr1!AB$75,'Lookup Tables'!$A$3:$AA$3),FALSE)</f>
        <v>1.4839</v>
      </c>
      <c r="AG75" s="178">
        <v>9</v>
      </c>
      <c r="AH75" s="201">
        <f>AB75-AF75</f>
        <v>0.5161</v>
      </c>
      <c r="AI75" s="195">
        <f>IF(AG75&lt;=AH75,AG75,AH75)</f>
        <v>0.5161</v>
      </c>
      <c r="AJ75" s="195">
        <f>IF((AG75+AF75)&lt;=0,0,1)</f>
        <v>1</v>
      </c>
      <c r="AK75" s="204">
        <f>((('Rate Tables'!D24*$E75)*PersonCalcYr1!AI75)*$F75)*AJ75</f>
        <v>0</v>
      </c>
      <c r="AL75" s="215">
        <f>AB75-AF75-AI75</f>
        <v>0</v>
      </c>
      <c r="AM75" s="197"/>
      <c r="AN75" s="178"/>
      <c r="AO75" s="227"/>
      <c r="AP75" s="350"/>
      <c r="AQ75" s="227"/>
      <c r="AR75" s="275"/>
      <c r="AS75" s="12"/>
    </row>
    <row r="76" spans="1:45" ht="13.5" customHeight="1" x14ac:dyDescent="0.25">
      <c r="A76" s="296"/>
      <c r="B76" s="116"/>
      <c r="C76" s="117" t="s">
        <v>597</v>
      </c>
      <c r="D76" s="178"/>
      <c r="E76" s="153" t="s">
        <v>16</v>
      </c>
      <c r="F76" s="153" t="s">
        <v>42</v>
      </c>
      <c r="G76" s="153" t="s">
        <v>41</v>
      </c>
      <c r="H76" s="183" t="s">
        <v>77</v>
      </c>
      <c r="I76" s="184" t="s">
        <v>90</v>
      </c>
      <c r="J76" s="185" t="s">
        <v>70</v>
      </c>
      <c r="K76" s="186" t="s">
        <v>109</v>
      </c>
      <c r="L76" s="153" t="s">
        <v>53</v>
      </c>
      <c r="M76" s="153" t="s">
        <v>82</v>
      </c>
      <c r="N76" s="153" t="s">
        <v>32</v>
      </c>
      <c r="O76" s="135" t="s">
        <v>69</v>
      </c>
      <c r="P76" s="153" t="s">
        <v>72</v>
      </c>
      <c r="Q76" s="183" t="s">
        <v>80</v>
      </c>
      <c r="R76" s="187" t="s">
        <v>81</v>
      </c>
      <c r="S76" s="183" t="s">
        <v>77</v>
      </c>
      <c r="T76" s="598" t="s">
        <v>83</v>
      </c>
      <c r="U76" s="185" t="s">
        <v>70</v>
      </c>
      <c r="V76" s="153" t="s">
        <v>92</v>
      </c>
      <c r="W76" s="153" t="s">
        <v>44</v>
      </c>
      <c r="X76" s="153" t="s">
        <v>78</v>
      </c>
      <c r="Y76" s="153" t="s">
        <v>68</v>
      </c>
      <c r="Z76" s="153" t="s">
        <v>33</v>
      </c>
      <c r="AA76" s="135" t="s">
        <v>69</v>
      </c>
      <c r="AB76" s="153" t="s">
        <v>72</v>
      </c>
      <c r="AC76" s="153" t="s">
        <v>80</v>
      </c>
      <c r="AD76" s="187" t="s">
        <v>81</v>
      </c>
      <c r="AE76" s="183" t="s">
        <v>77</v>
      </c>
      <c r="AF76" s="185" t="s">
        <v>70</v>
      </c>
      <c r="AG76" s="153" t="s">
        <v>94</v>
      </c>
      <c r="AH76" s="153" t="s">
        <v>45</v>
      </c>
      <c r="AI76" s="153" t="s">
        <v>79</v>
      </c>
      <c r="AJ76" s="153" t="s">
        <v>68</v>
      </c>
      <c r="AK76" s="153" t="s">
        <v>34</v>
      </c>
      <c r="AL76" s="135" t="s">
        <v>69</v>
      </c>
      <c r="AM76" s="153"/>
      <c r="AN76" s="178"/>
      <c r="AO76" s="227"/>
      <c r="AP76" s="351"/>
      <c r="AQ76" s="227"/>
      <c r="AR76" s="275"/>
      <c r="AS76" s="12"/>
    </row>
    <row r="77" spans="1:45" ht="13.5" customHeight="1" x14ac:dyDescent="0.25">
      <c r="A77" s="296"/>
      <c r="B77" s="116"/>
      <c r="C77" s="115"/>
      <c r="D77" s="178"/>
      <c r="E77" s="189">
        <f>AP$73</f>
        <v>0</v>
      </c>
      <c r="F77" s="190">
        <f>IF($D$4=2023,1,0)</f>
        <v>0</v>
      </c>
      <c r="G77" s="178">
        <f>IF($B79="Yes",$C$5,$I79)</f>
        <v>12</v>
      </c>
      <c r="H77" s="191">
        <f>VLOOKUP(H78,'Lookup Tables'!$A$22:$B$33,2,FALSE)</f>
        <v>3</v>
      </c>
      <c r="I77" s="192">
        <f>VLOOKUP($E$4,'Lookup Tables'!$AB$46:$AN$58,MATCH($H77,'Lookup Tables'!$AB$46:$AN$46),FALSE)</f>
        <v>12</v>
      </c>
      <c r="J77" s="193">
        <f>VLOOKUP(H77,'Lookup Tables'!$A$3:$AA$16,MATCH(PersonCalcYr1!$G77,'Lookup Tables'!$A$3:$AA$3),FALSE)</f>
        <v>1.5161</v>
      </c>
      <c r="K77" s="194">
        <f>VLOOKUP(H78,'Lookup Tables'!$K$23:$L$34,2,FALSE)</f>
        <v>0</v>
      </c>
      <c r="L77" s="178">
        <f>IF(G77&lt;=K77,G77,K77)</f>
        <v>0</v>
      </c>
      <c r="M77" s="195">
        <f>IF(12-I77&gt;=1,1,0)</f>
        <v>0</v>
      </c>
      <c r="N77" s="196">
        <f>(('Rate Tables'!C24*PersonCalcYr1!E77)*PersonCalcYr1!L77)*PersonCalcYr1!F77*M77</f>
        <v>0</v>
      </c>
      <c r="O77" s="197">
        <f>G77-((J77+L77)*M77)</f>
        <v>12</v>
      </c>
      <c r="P77" s="197">
        <f>IF(O77&lt;0,O77*0,1)*O77</f>
        <v>12</v>
      </c>
      <c r="Q77" s="198">
        <f>H77+(L77*M77)+(J77*M77)</f>
        <v>3</v>
      </c>
      <c r="R77" s="199" t="str">
        <f>VLOOKUP(Q77,'Lookup Tables'!$A$38:$B$151,2,FALSE)</f>
        <v>Sept</v>
      </c>
      <c r="S77" s="191">
        <f>VLOOKUP(R77,'Lookup Tables'!$A$22:$B$33,2,FALSE)</f>
        <v>3</v>
      </c>
      <c r="T77" s="599">
        <f>VLOOKUP($E$4,'Lookup Tables'!$AB$63:$AN$75,MATCH(PersonCalcYr1!$S77,'Lookup Tables'!$AB$63:$AN$63),FALSE)</f>
        <v>0.5161</v>
      </c>
      <c r="U77" s="200">
        <f>VLOOKUP(S77,'Lookup Tables'!$A$3:$AA$16,MATCH(PersonCalcYr1!$P77,'Lookup Tables'!$A$3:$AA$3),FALSE)</f>
        <v>1.5161</v>
      </c>
      <c r="V77" s="496">
        <f>9-T77</f>
        <v>8.4839000000000002</v>
      </c>
      <c r="W77" s="201">
        <f>P77-U77</f>
        <v>10.4839</v>
      </c>
      <c r="X77" s="195">
        <f>IF(V77&lt;=W77,V77,W77)</f>
        <v>8.4839000000000002</v>
      </c>
      <c r="Y77" s="195">
        <f>IF(12-T77-U77-X77&gt;=0,1,0)</f>
        <v>1</v>
      </c>
      <c r="Z77" s="202">
        <f>((('Rate Tables'!D24*$E77)*PersonCalcYr1!$X77)*$F77)*Y77</f>
        <v>0</v>
      </c>
      <c r="AA77" s="197">
        <f>O77-(((U77*U79)+X77)*Y77)</f>
        <v>2</v>
      </c>
      <c r="AB77" s="197">
        <f>IF(AA77&lt;0,AA77*0,1)*AA77</f>
        <v>2</v>
      </c>
      <c r="AC77" s="601">
        <f>S77+(X77*Y77)+((U77*U79)*Y77)</f>
        <v>13</v>
      </c>
      <c r="AD77" s="199" t="str">
        <f>VLOOKUP(AC77,'Lookup Tables'!$A$38:$B$151,2,FALSE)</f>
        <v>July</v>
      </c>
      <c r="AE77" s="191">
        <f>VLOOKUP(AD77,'Lookup Tables'!$A$22:$B$33,2,FALSE)</f>
        <v>1</v>
      </c>
      <c r="AF77" s="200">
        <f>VLOOKUP(AE77,'Lookup Tables'!$A$3:$AA$16,MATCH(PersonCalcYr1!AB77,'Lookup Tables'!$A$3:$AA$3),FALSE)</f>
        <v>1.4839</v>
      </c>
      <c r="AG77" s="178">
        <v>9</v>
      </c>
      <c r="AH77" s="201">
        <f>AB77-AF77</f>
        <v>0.5161</v>
      </c>
      <c r="AI77" s="195">
        <f>IF(AG77&lt;=AH77,AG77,AH77)</f>
        <v>0.5161</v>
      </c>
      <c r="AJ77" s="195">
        <f>IF((AG77+AF77)&lt;=0,0,1)</f>
        <v>1</v>
      </c>
      <c r="AK77" s="204">
        <f>((('Rate Tables'!E24*$E77)*PersonCalcYr1!AI77)*$F77)*AJ77</f>
        <v>0</v>
      </c>
      <c r="AL77" s="215">
        <f>AB77-AF77-AI77</f>
        <v>0</v>
      </c>
      <c r="AM77" s="197"/>
      <c r="AN77" s="178"/>
      <c r="AO77" s="227"/>
      <c r="AP77" s="349"/>
      <c r="AQ77" s="227"/>
      <c r="AR77" s="275"/>
      <c r="AS77" s="12"/>
    </row>
    <row r="78" spans="1:45" ht="13.5" customHeight="1" x14ac:dyDescent="0.25">
      <c r="A78" s="296"/>
      <c r="B78" s="116"/>
      <c r="C78" s="115"/>
      <c r="D78" s="178"/>
      <c r="E78" s="205"/>
      <c r="F78" s="190"/>
      <c r="G78" s="178" t="s">
        <v>430</v>
      </c>
      <c r="H78" s="178" t="str">
        <f>IF(B79="yes",$C$4,A86)</f>
        <v>Sept</v>
      </c>
      <c r="I78" s="178"/>
      <c r="J78" s="178"/>
      <c r="K78" s="178"/>
      <c r="L78" s="178"/>
      <c r="M78" s="206"/>
      <c r="N78" s="207"/>
      <c r="O78" s="216"/>
      <c r="P78" s="190"/>
      <c r="Q78" s="190"/>
      <c r="R78" s="190"/>
      <c r="S78" s="190"/>
      <c r="T78" s="190"/>
      <c r="U78" s="178"/>
      <c r="V78" s="201"/>
      <c r="W78" s="201"/>
      <c r="X78" s="178"/>
      <c r="Y78" s="206"/>
      <c r="Z78" s="207"/>
      <c r="AA78" s="216"/>
      <c r="AB78" s="202"/>
      <c r="AC78" s="202"/>
      <c r="AD78" s="202"/>
      <c r="AE78" s="202"/>
      <c r="AF78" s="203"/>
      <c r="AG78" s="201"/>
      <c r="AH78" s="201"/>
      <c r="AI78" s="178"/>
      <c r="AJ78" s="206"/>
      <c r="AK78" s="207"/>
      <c r="AL78" s="216"/>
      <c r="AM78" s="202"/>
      <c r="AN78" s="178"/>
      <c r="AO78" s="307" t="s">
        <v>450</v>
      </c>
      <c r="AP78" s="349">
        <f>IF(B73=0,0,1)</f>
        <v>1</v>
      </c>
      <c r="AQ78" s="227"/>
      <c r="AR78" s="275"/>
      <c r="AS78" s="12"/>
    </row>
    <row r="79" spans="1:45" ht="13.5" customHeight="1" x14ac:dyDescent="0.25">
      <c r="A79" s="37" t="s">
        <v>431</v>
      </c>
      <c r="B79" s="375" t="str">
        <f>Personnel!E33</f>
        <v>YES</v>
      </c>
      <c r="C79" s="115"/>
      <c r="D79" s="178"/>
      <c r="E79" s="205"/>
      <c r="F79" s="190"/>
      <c r="G79" s="491" t="s">
        <v>555</v>
      </c>
      <c r="H79" s="175">
        <f>IF(H80&lt;$C$5, H80,$C$5)</f>
        <v>12</v>
      </c>
      <c r="I79" s="178">
        <f>IF(B86&lt;=H80,B86,H80)</f>
        <v>0</v>
      </c>
      <c r="J79" s="178"/>
      <c r="K79" s="178"/>
      <c r="L79" s="178"/>
      <c r="M79" s="178"/>
      <c r="N79" s="178"/>
      <c r="O79" s="217"/>
      <c r="P79" s="190"/>
      <c r="Q79" s="190"/>
      <c r="R79" s="190"/>
      <c r="S79" s="190"/>
      <c r="T79" s="605" t="s">
        <v>573</v>
      </c>
      <c r="U79" s="606">
        <f>VLOOKUP($E$4,'Lookup Tables'!$L$79:$X$91,MATCH(PersonCalcYr1!$S75,'Lookup Tables'!$L$79:$X$79),FALSE)</f>
        <v>1</v>
      </c>
      <c r="V79" s="201"/>
      <c r="W79" s="201"/>
      <c r="X79" s="201"/>
      <c r="Y79" s="195"/>
      <c r="Z79" s="195"/>
      <c r="AA79" s="202"/>
      <c r="AB79" s="202"/>
      <c r="AC79" s="202"/>
      <c r="AD79" s="202"/>
      <c r="AE79" s="202"/>
      <c r="AF79" s="203"/>
      <c r="AG79" s="201"/>
      <c r="AH79" s="201"/>
      <c r="AI79" s="201"/>
      <c r="AJ79" s="201"/>
      <c r="AK79" s="202"/>
      <c r="AL79" s="202"/>
      <c r="AM79" s="202"/>
      <c r="AN79" s="178"/>
      <c r="AO79" s="370" t="s">
        <v>411</v>
      </c>
      <c r="AP79" s="352">
        <f>Personnel!G34</f>
        <v>0</v>
      </c>
      <c r="AQ79" s="276" t="s">
        <v>117</v>
      </c>
      <c r="AR79" s="277">
        <f>(N82+W82+AJ82+N84+W84+AJ84)*AP78</f>
        <v>0</v>
      </c>
      <c r="AS79" s="224"/>
    </row>
    <row r="80" spans="1:45" ht="13.5" customHeight="1" x14ac:dyDescent="0.25">
      <c r="A80" s="296" t="s">
        <v>439</v>
      </c>
      <c r="B80" s="114" t="s">
        <v>427</v>
      </c>
      <c r="C80" s="114"/>
      <c r="D80" s="178"/>
      <c r="E80" s="178"/>
      <c r="F80" s="178"/>
      <c r="G80" s="178"/>
      <c r="H80" s="175">
        <f>VLOOKUP($E$4,'Lookup Tables'!$L$46:$AA$58,MATCH($H$75,'Lookup Tables'!$L$46:$X$46),FALSE)</f>
        <v>12</v>
      </c>
      <c r="I80" s="178"/>
      <c r="J80" s="178"/>
      <c r="K80" s="178"/>
      <c r="L80" s="178"/>
      <c r="M80" s="178"/>
      <c r="N80" s="178"/>
      <c r="O80" s="217"/>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227"/>
      <c r="AP80" s="12"/>
      <c r="AQ80" s="278" t="s">
        <v>96</v>
      </c>
      <c r="AR80" s="279">
        <f>AR73+AR79</f>
        <v>0</v>
      </c>
      <c r="AS80" s="369"/>
    </row>
    <row r="81" spans="1:47" ht="13.5" customHeight="1" x14ac:dyDescent="0.25">
      <c r="A81" s="296"/>
      <c r="B81" s="116"/>
      <c r="C81" s="117" t="s">
        <v>30</v>
      </c>
      <c r="D81" s="178"/>
      <c r="E81" s="153" t="s">
        <v>84</v>
      </c>
      <c r="F81" s="153" t="s">
        <v>42</v>
      </c>
      <c r="G81" s="153" t="s">
        <v>41</v>
      </c>
      <c r="H81" s="183" t="s">
        <v>77</v>
      </c>
      <c r="I81" s="209" t="s">
        <v>101</v>
      </c>
      <c r="J81" s="210" t="s">
        <v>102</v>
      </c>
      <c r="K81" s="153" t="s">
        <v>98</v>
      </c>
      <c r="L81" s="153" t="s">
        <v>100</v>
      </c>
      <c r="M81" s="153" t="s">
        <v>82</v>
      </c>
      <c r="N81" s="153" t="s">
        <v>31</v>
      </c>
      <c r="O81" s="135" t="s">
        <v>69</v>
      </c>
      <c r="P81" s="153" t="s">
        <v>72</v>
      </c>
      <c r="Q81" s="153" t="s">
        <v>103</v>
      </c>
      <c r="R81" s="183" t="s">
        <v>77</v>
      </c>
      <c r="S81" s="209" t="s">
        <v>101</v>
      </c>
      <c r="T81" s="210" t="s">
        <v>102</v>
      </c>
      <c r="U81" s="178" t="s">
        <v>98</v>
      </c>
      <c r="V81" s="153" t="s">
        <v>100</v>
      </c>
      <c r="W81" s="153" t="s">
        <v>32</v>
      </c>
      <c r="X81" s="153" t="s">
        <v>69</v>
      </c>
      <c r="Y81" s="153"/>
      <c r="Z81" s="153"/>
      <c r="AA81" s="217"/>
      <c r="AB81" s="153" t="s">
        <v>72</v>
      </c>
      <c r="AC81" s="153" t="s">
        <v>103</v>
      </c>
      <c r="AD81" s="153"/>
      <c r="AE81" s="183" t="s">
        <v>77</v>
      </c>
      <c r="AF81" s="209" t="s">
        <v>101</v>
      </c>
      <c r="AG81" s="210" t="s">
        <v>102</v>
      </c>
      <c r="AH81" s="178" t="s">
        <v>98</v>
      </c>
      <c r="AI81" s="153" t="s">
        <v>100</v>
      </c>
      <c r="AJ81" s="153" t="s">
        <v>33</v>
      </c>
      <c r="AK81" s="153" t="s">
        <v>69</v>
      </c>
      <c r="AL81" s="217"/>
      <c r="AM81" s="153"/>
      <c r="AN81" s="178"/>
      <c r="AO81" s="276" t="s">
        <v>95</v>
      </c>
      <c r="AP81" s="12"/>
      <c r="AQ81" s="227"/>
      <c r="AR81" s="275"/>
      <c r="AS81" s="12"/>
    </row>
    <row r="82" spans="1:47" ht="13.5" customHeight="1" x14ac:dyDescent="0.25">
      <c r="A82" s="296"/>
      <c r="B82" s="116"/>
      <c r="C82" s="115"/>
      <c r="D82" s="178"/>
      <c r="E82" s="211">
        <f>IF(H85&lt;=H86,H85,H86)</f>
        <v>0</v>
      </c>
      <c r="F82" s="190">
        <f>IF($D$4=2022,1,0)</f>
        <v>1</v>
      </c>
      <c r="G82" s="178">
        <f>IF($B79="Yes",$C$5,$I79)</f>
        <v>12</v>
      </c>
      <c r="H82" s="191">
        <f>H75</f>
        <v>3</v>
      </c>
      <c r="I82" s="212">
        <f>VLOOKUP(J75,'Lookup Tables'!$AB$22:$AC$31,2,FALSE)</f>
        <v>32</v>
      </c>
      <c r="J82" s="213">
        <f>VLOOKUP(U75,'Lookup Tables'!$AB$32:$AC$41,2,FALSE)</f>
        <v>33</v>
      </c>
      <c r="K82" s="203">
        <f>E82-J82</f>
        <v>-33</v>
      </c>
      <c r="L82" s="178">
        <f>IF(K82&gt;0,1,0)</f>
        <v>0</v>
      </c>
      <c r="M82" s="195">
        <f>M75</f>
        <v>0</v>
      </c>
      <c r="N82" s="196">
        <f>((((('Rate Tables'!B24*9)*0.02778)/5)*K82)*L82)*F82*M82</f>
        <v>0</v>
      </c>
      <c r="O82" s="215">
        <f>O75</f>
        <v>12</v>
      </c>
      <c r="P82" s="197">
        <f>IF(O82&lt;0,O82*0,1)*O82</f>
        <v>12</v>
      </c>
      <c r="Q82" s="203">
        <f>(E82-K82*F82*L82*M82)</f>
        <v>0</v>
      </c>
      <c r="R82" s="191">
        <f>S75</f>
        <v>3</v>
      </c>
      <c r="S82" s="212">
        <f>VLOOKUP(U75,'Lookup Tables'!$AB$22:$AC$31,2,FALSE)</f>
        <v>32</v>
      </c>
      <c r="T82" s="213">
        <f>VLOOKUP(AF75,'Lookup Tables'!$AB$32:$AC$41,2,FALSE)</f>
        <v>33</v>
      </c>
      <c r="U82" s="206">
        <f>Q82-T82</f>
        <v>-33</v>
      </c>
      <c r="V82" s="178">
        <f>IF(U82&gt;0,1,0)</f>
        <v>0</v>
      </c>
      <c r="W82" s="196">
        <f>((('Rate Tables'!C24*9)*0.02778)/5)*U82*F82*V82</f>
        <v>0</v>
      </c>
      <c r="X82" s="197">
        <f>AA75</f>
        <v>2</v>
      </c>
      <c r="Y82" s="178"/>
      <c r="Z82" s="195"/>
      <c r="AA82" s="217"/>
      <c r="AB82" s="197">
        <f>IF(X82&lt;0,X82*0,1)*X82</f>
        <v>2</v>
      </c>
      <c r="AC82" s="203">
        <f>Q82-(U82*V82)</f>
        <v>0</v>
      </c>
      <c r="AD82" s="178"/>
      <c r="AE82" s="191">
        <f>AE75</f>
        <v>1</v>
      </c>
      <c r="AF82" s="212">
        <f>VLOOKUP(AF75,'Lookup Tables'!$AB$22:$AC$31,2,FALSE)</f>
        <v>32</v>
      </c>
      <c r="AG82" s="213">
        <v>0</v>
      </c>
      <c r="AH82" s="208">
        <f>AC82-AG82</f>
        <v>0</v>
      </c>
      <c r="AI82" s="178">
        <f>IF(AH82&gt;0,1,0)</f>
        <v>0</v>
      </c>
      <c r="AJ82" s="196">
        <f>((('Rate Tables'!D24*9)*0.02778)/5)*AH82*AI82*F82</f>
        <v>0</v>
      </c>
      <c r="AK82" s="197">
        <f>AL75</f>
        <v>0</v>
      </c>
      <c r="AL82" s="217"/>
      <c r="AM82" s="197"/>
      <c r="AN82" s="178"/>
      <c r="AO82" s="308">
        <f>AP79</f>
        <v>0</v>
      </c>
      <c r="AP82" s="225"/>
      <c r="AQ82" s="227"/>
      <c r="AR82" s="275"/>
      <c r="AS82" s="12" t="s">
        <v>418</v>
      </c>
    </row>
    <row r="83" spans="1:47" ht="13.5" customHeight="1" x14ac:dyDescent="0.25">
      <c r="A83" s="296"/>
      <c r="B83" s="116"/>
      <c r="C83" s="117" t="s">
        <v>597</v>
      </c>
      <c r="D83" s="178"/>
      <c r="E83" s="153" t="s">
        <v>84</v>
      </c>
      <c r="F83" s="153" t="s">
        <v>42</v>
      </c>
      <c r="G83" s="153" t="s">
        <v>41</v>
      </c>
      <c r="H83" s="183" t="s">
        <v>77</v>
      </c>
      <c r="I83" s="209" t="s">
        <v>105</v>
      </c>
      <c r="J83" s="210" t="s">
        <v>106</v>
      </c>
      <c r="K83" s="153" t="s">
        <v>99</v>
      </c>
      <c r="L83" s="153" t="s">
        <v>100</v>
      </c>
      <c r="M83" s="153" t="s">
        <v>82</v>
      </c>
      <c r="N83" s="153" t="s">
        <v>32</v>
      </c>
      <c r="O83" s="135" t="s">
        <v>69</v>
      </c>
      <c r="P83" s="153" t="s">
        <v>72</v>
      </c>
      <c r="Q83" s="153" t="s">
        <v>103</v>
      </c>
      <c r="R83" s="183" t="s">
        <v>77</v>
      </c>
      <c r="S83" s="209" t="s">
        <v>105</v>
      </c>
      <c r="T83" s="210" t="s">
        <v>106</v>
      </c>
      <c r="U83" s="178" t="s">
        <v>98</v>
      </c>
      <c r="V83" s="153" t="s">
        <v>100</v>
      </c>
      <c r="W83" s="153" t="s">
        <v>33</v>
      </c>
      <c r="X83" s="153" t="s">
        <v>69</v>
      </c>
      <c r="Y83" s="153"/>
      <c r="Z83" s="153"/>
      <c r="AA83" s="217"/>
      <c r="AB83" s="153" t="s">
        <v>72</v>
      </c>
      <c r="AC83" s="153" t="s">
        <v>104</v>
      </c>
      <c r="AD83" s="153"/>
      <c r="AE83" s="183" t="s">
        <v>77</v>
      </c>
      <c r="AF83" s="209" t="s">
        <v>105</v>
      </c>
      <c r="AG83" s="210" t="s">
        <v>106</v>
      </c>
      <c r="AH83" s="178" t="s">
        <v>98</v>
      </c>
      <c r="AI83" s="153" t="s">
        <v>100</v>
      </c>
      <c r="AJ83" s="153" t="s">
        <v>34</v>
      </c>
      <c r="AK83" s="153" t="s">
        <v>69</v>
      </c>
      <c r="AL83" s="217"/>
      <c r="AM83" s="178"/>
      <c r="AN83" s="178"/>
      <c r="AO83" s="227"/>
      <c r="AP83" s="224"/>
      <c r="AQ83" s="227" t="s">
        <v>451</v>
      </c>
      <c r="AR83" s="275">
        <f>(VLOOKUP($B73,'Rate Tables'!$O$2:$P$8,2,FALSE))</f>
        <v>0.2697</v>
      </c>
      <c r="AS83" s="372">
        <f>VLOOKUP('F&amp;ARatesCalc'!$B$1,'F&amp;ARatesCalc'!$A$3:$B$5,2,FALSE)</f>
        <v>0.56999999999999995</v>
      </c>
    </row>
    <row r="84" spans="1:47" ht="13.5" customHeight="1" x14ac:dyDescent="0.25">
      <c r="A84" s="296"/>
      <c r="B84" s="116"/>
      <c r="C84" s="115"/>
      <c r="D84" s="178"/>
      <c r="E84" s="211">
        <f>E82</f>
        <v>0</v>
      </c>
      <c r="F84" s="190">
        <f>IF($D$4=2023,1,0)</f>
        <v>0</v>
      </c>
      <c r="G84" s="178">
        <f>IF($B79="Yes",$C$5,$I79)</f>
        <v>12</v>
      </c>
      <c r="H84" s="191">
        <f>H77</f>
        <v>3</v>
      </c>
      <c r="I84" s="212">
        <f>VLOOKUP(J77,'Lookup Tables'!$AB$22:$AC$31,2,FALSE)</f>
        <v>32</v>
      </c>
      <c r="J84" s="213">
        <f>VLOOKUP(U77,'Lookup Tables'!$AB$32:$AC$41,2,FALSE)</f>
        <v>33</v>
      </c>
      <c r="K84" s="203">
        <f>E84-J84</f>
        <v>-33</v>
      </c>
      <c r="L84" s="178">
        <f>IF(K84&gt;0,1,0)</f>
        <v>0</v>
      </c>
      <c r="M84" s="195">
        <f>M77</f>
        <v>0</v>
      </c>
      <c r="N84" s="196">
        <f>((((('Rate Tables'!C24*9)*0.02778)/5)*K84)*L84)*F84*M84</f>
        <v>0</v>
      </c>
      <c r="O84" s="215">
        <f>O77</f>
        <v>12</v>
      </c>
      <c r="P84" s="197">
        <f>IF(O84&lt;0,O84*0,1)*O84</f>
        <v>12</v>
      </c>
      <c r="Q84" s="203">
        <f>(E84-K84*F84*L84*M84)</f>
        <v>0</v>
      </c>
      <c r="R84" s="191">
        <f>S77</f>
        <v>3</v>
      </c>
      <c r="S84" s="212">
        <f>VLOOKUP(U77,'Lookup Tables'!$AB$22:$AC$31,2,FALSE)</f>
        <v>32</v>
      </c>
      <c r="T84" s="213">
        <f>VLOOKUP(AF77,'Lookup Tables'!$AB$32:$AC$41,2,FALSE)</f>
        <v>33</v>
      </c>
      <c r="U84" s="206">
        <f>Q84-T84</f>
        <v>-33</v>
      </c>
      <c r="V84" s="178">
        <f>IF(U84&gt;0,1,0)</f>
        <v>0</v>
      </c>
      <c r="W84" s="196">
        <f>((('Rate Tables'!D24*9)*0.02778)/5)*U84*F84*V84</f>
        <v>0</v>
      </c>
      <c r="X84" s="197">
        <f>AA77</f>
        <v>2</v>
      </c>
      <c r="Y84" s="178"/>
      <c r="Z84" s="195"/>
      <c r="AA84" s="217"/>
      <c r="AB84" s="197">
        <f>IF(X84&lt;0,X84*0,1)*X84</f>
        <v>2</v>
      </c>
      <c r="AC84" s="203">
        <f>Q84-(U84*V84)</f>
        <v>0</v>
      </c>
      <c r="AD84" s="178"/>
      <c r="AE84" s="191">
        <f>AE77</f>
        <v>1</v>
      </c>
      <c r="AF84" s="212">
        <f>VLOOKUP(AF77,'Lookup Tables'!$AB$22:$AC$31,2,FALSE)</f>
        <v>32</v>
      </c>
      <c r="AG84" s="213">
        <v>0</v>
      </c>
      <c r="AH84" s="208">
        <f>AC84-AG84</f>
        <v>0</v>
      </c>
      <c r="AI84" s="178">
        <f>IF(AH84&gt;0,1,0)</f>
        <v>0</v>
      </c>
      <c r="AJ84" s="196">
        <f>((('Rate Tables'!E24*9)*0.02778)/5)*AH84*AI84*F84</f>
        <v>0</v>
      </c>
      <c r="AK84" s="197">
        <f>AL77</f>
        <v>0</v>
      </c>
      <c r="AL84" s="217"/>
      <c r="AM84" s="178"/>
      <c r="AN84" s="178"/>
      <c r="AO84" s="227"/>
      <c r="AP84" s="12"/>
      <c r="AQ84" s="227" t="s">
        <v>452</v>
      </c>
      <c r="AR84" s="275">
        <f>_xlfn.IFNA(AR83,0)</f>
        <v>0.2697</v>
      </c>
      <c r="AS84" s="12" t="s">
        <v>417</v>
      </c>
    </row>
    <row r="85" spans="1:47" ht="13.5" customHeight="1" thickBot="1" x14ac:dyDescent="0.3">
      <c r="A85" s="296"/>
      <c r="B85" s="116"/>
      <c r="C85" s="114"/>
      <c r="D85" s="178"/>
      <c r="E85" s="178"/>
      <c r="F85" s="178"/>
      <c r="G85" s="491" t="s">
        <v>559</v>
      </c>
      <c r="H85" s="178">
        <f>AO82</f>
        <v>0</v>
      </c>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307"/>
      <c r="AP85" s="12"/>
      <c r="AQ85" s="227" t="s">
        <v>453</v>
      </c>
      <c r="AR85" s="275">
        <f>IF(AR84=0,0,AR83)</f>
        <v>0.2697</v>
      </c>
      <c r="AS85" s="12">
        <f>(AR80+AR86)*AS83</f>
        <v>0</v>
      </c>
    </row>
    <row r="86" spans="1:47" ht="13.5" customHeight="1" thickBot="1" x14ac:dyDescent="0.3">
      <c r="A86" s="380">
        <f>Personnel!E34</f>
        <v>0</v>
      </c>
      <c r="B86" s="273">
        <f>Personnel!E35</f>
        <v>0</v>
      </c>
      <c r="C86" s="114"/>
      <c r="D86" s="178"/>
      <c r="E86" s="178"/>
      <c r="F86" s="178"/>
      <c r="G86" s="491" t="s">
        <v>560</v>
      </c>
      <c r="H86" s="178">
        <f>VLOOKUP(H82,'Lookup Tables'!$L$62:$Y$74,MATCH(G82,'Lookup Tables'!$L$62:$Y$62,FALSE))</f>
        <v>65</v>
      </c>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309"/>
      <c r="AP86" s="274"/>
      <c r="AQ86" s="278" t="s">
        <v>415</v>
      </c>
      <c r="AR86" s="279">
        <f>AR80*AR85</f>
        <v>0</v>
      </c>
      <c r="AS86" s="373">
        <f>AR80+AR86+AS85</f>
        <v>0</v>
      </c>
    </row>
    <row r="87" spans="1:47" ht="14.25" customHeight="1" x14ac:dyDescent="0.25">
      <c r="C87" s="114"/>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227"/>
      <c r="AP87" s="12"/>
      <c r="AQ87" s="12"/>
      <c r="AR87" s="275"/>
      <c r="AS87" s="391"/>
    </row>
    <row r="88" spans="1:47" ht="6" customHeight="1" thickBot="1" x14ac:dyDescent="0.3">
      <c r="A88" s="393"/>
      <c r="B88" s="295"/>
      <c r="C88" s="291"/>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280"/>
      <c r="AP88" s="149"/>
      <c r="AQ88" s="149"/>
      <c r="AR88" s="149"/>
      <c r="AS88" s="149"/>
    </row>
    <row r="89" spans="1:47" ht="19.5" thickBot="1" x14ac:dyDescent="0.35">
      <c r="A89" s="394" t="s">
        <v>333</v>
      </c>
      <c r="B89" s="395"/>
      <c r="C89" s="395"/>
      <c r="D89" s="395"/>
      <c r="E89" s="395"/>
      <c r="F89" s="395"/>
      <c r="G89" s="395"/>
      <c r="H89" s="395"/>
      <c r="I89" s="395"/>
      <c r="J89" s="395"/>
      <c r="K89" s="395"/>
      <c r="L89" s="395"/>
      <c r="M89" s="395"/>
      <c r="N89" s="395"/>
      <c r="O89" s="395"/>
      <c r="P89" s="395"/>
      <c r="Q89" s="395"/>
      <c r="R89" s="395"/>
      <c r="S89" s="395"/>
      <c r="T89" s="395"/>
      <c r="U89" s="395"/>
      <c r="V89" s="395"/>
      <c r="W89" s="395"/>
      <c r="X89" s="395"/>
      <c r="Y89" s="395"/>
      <c r="Z89" s="607"/>
      <c r="AA89" s="607"/>
      <c r="AB89" s="395"/>
      <c r="AC89" s="395"/>
      <c r="AD89" s="395"/>
      <c r="AE89" s="395"/>
      <c r="AF89" s="395"/>
      <c r="AG89" s="395"/>
      <c r="AH89" s="395"/>
      <c r="AI89" s="395"/>
      <c r="AJ89" s="395"/>
      <c r="AK89" s="395"/>
      <c r="AL89" s="395"/>
      <c r="AM89" s="395"/>
      <c r="AN89" s="395"/>
      <c r="AO89" s="396"/>
      <c r="AP89" s="395"/>
      <c r="AQ89" s="395"/>
      <c r="AR89" s="395"/>
      <c r="AS89" s="392"/>
    </row>
    <row r="90" spans="1:47" ht="14.25" customHeight="1" x14ac:dyDescent="0.25">
      <c r="A90" s="298" t="s">
        <v>174</v>
      </c>
      <c r="B90" s="294" t="s">
        <v>59</v>
      </c>
      <c r="C90" s="180" t="s">
        <v>606</v>
      </c>
      <c r="D90" s="179"/>
      <c r="E90" s="218"/>
      <c r="F90" s="218"/>
      <c r="G90" s="181"/>
      <c r="H90" s="181"/>
      <c r="I90" s="181"/>
      <c r="J90" s="181"/>
      <c r="K90" s="181"/>
      <c r="L90" s="181"/>
      <c r="M90" s="181"/>
      <c r="N90" s="679">
        <v>44013</v>
      </c>
      <c r="O90" s="679">
        <v>44377</v>
      </c>
      <c r="P90" s="181"/>
      <c r="Q90" s="181"/>
      <c r="R90" s="181"/>
      <c r="S90" s="181"/>
      <c r="T90" s="181"/>
      <c r="U90" s="181"/>
      <c r="V90" s="181"/>
      <c r="W90" s="181"/>
      <c r="X90" s="181"/>
      <c r="Y90" s="181"/>
      <c r="Z90" s="493">
        <v>44378</v>
      </c>
      <c r="AA90" s="493">
        <v>44742</v>
      </c>
      <c r="AB90" s="181"/>
      <c r="AC90" s="181"/>
      <c r="AD90" s="181"/>
      <c r="AE90" s="181"/>
      <c r="AF90" s="181"/>
      <c r="AG90" s="181"/>
      <c r="AH90" s="181"/>
      <c r="AI90" s="181"/>
      <c r="AJ90" s="181"/>
      <c r="AK90" s="181"/>
      <c r="AL90" s="181"/>
      <c r="AM90" s="181"/>
      <c r="AN90" s="181"/>
      <c r="AO90" s="282"/>
      <c r="AP90" s="144"/>
      <c r="AQ90" s="144"/>
      <c r="AR90" s="283"/>
      <c r="AS90" s="12"/>
      <c r="AU90" s="313"/>
    </row>
    <row r="91" spans="1:47" ht="14.25" customHeight="1" x14ac:dyDescent="0.25">
      <c r="A91" s="345">
        <f>Personnel!C40</f>
        <v>0</v>
      </c>
      <c r="B91" s="346" t="str">
        <f>Personnel!C39</f>
        <v>Prof/Admin</v>
      </c>
      <c r="C91" s="347">
        <f>Personnel!C41</f>
        <v>0</v>
      </c>
      <c r="D91" s="188"/>
      <c r="E91" s="205"/>
      <c r="F91" s="205"/>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278" t="s">
        <v>171</v>
      </c>
      <c r="AP91" s="348">
        <f>Personnel!G39</f>
        <v>0.1</v>
      </c>
      <c r="AQ91" s="278" t="s">
        <v>96</v>
      </c>
      <c r="AR91" s="279">
        <f>(M93+W93+AI93+M95+W95+AI95)*AP94</f>
        <v>0</v>
      </c>
      <c r="AS91" s="369"/>
      <c r="AU91" s="313"/>
    </row>
    <row r="92" spans="1:47" ht="14.25" customHeight="1" x14ac:dyDescent="0.25">
      <c r="A92" s="296"/>
      <c r="B92" s="12"/>
      <c r="C92" s="117" t="s">
        <v>30</v>
      </c>
      <c r="D92" s="182"/>
      <c r="E92" s="153">
        <v>0</v>
      </c>
      <c r="F92" s="153" t="s">
        <v>42</v>
      </c>
      <c r="G92" s="153" t="s">
        <v>41</v>
      </c>
      <c r="H92" s="183" t="s">
        <v>77</v>
      </c>
      <c r="I92" s="219" t="s">
        <v>50</v>
      </c>
      <c r="J92" s="153" t="s">
        <v>52</v>
      </c>
      <c r="K92" s="153" t="s">
        <v>35</v>
      </c>
      <c r="L92" s="153" t="s">
        <v>82</v>
      </c>
      <c r="M92" s="153" t="s">
        <v>31</v>
      </c>
      <c r="N92" s="153" t="s">
        <v>69</v>
      </c>
      <c r="O92" s="178"/>
      <c r="P92" s="153" t="s">
        <v>72</v>
      </c>
      <c r="Q92" s="183" t="s">
        <v>80</v>
      </c>
      <c r="R92" s="187" t="s">
        <v>81</v>
      </c>
      <c r="S92" s="183" t="s">
        <v>77</v>
      </c>
      <c r="T92" s="673" t="s">
        <v>107</v>
      </c>
      <c r="U92" s="153" t="s">
        <v>53</v>
      </c>
      <c r="V92" s="153" t="s">
        <v>82</v>
      </c>
      <c r="W92" s="153" t="s">
        <v>32</v>
      </c>
      <c r="X92" s="153" t="s">
        <v>69</v>
      </c>
      <c r="Y92" s="178"/>
      <c r="Z92" s="178"/>
      <c r="AA92" s="178"/>
      <c r="AB92" s="153" t="s">
        <v>72</v>
      </c>
      <c r="AC92" s="153" t="s">
        <v>80</v>
      </c>
      <c r="AD92" s="187" t="s">
        <v>81</v>
      </c>
      <c r="AE92" s="183" t="s">
        <v>77</v>
      </c>
      <c r="AF92" s="220" t="s">
        <v>107</v>
      </c>
      <c r="AG92" s="153" t="s">
        <v>78</v>
      </c>
      <c r="AH92" s="153" t="s">
        <v>82</v>
      </c>
      <c r="AI92" s="153" t="s">
        <v>33</v>
      </c>
      <c r="AJ92" s="153"/>
      <c r="AK92" s="178"/>
      <c r="AL92" s="178"/>
      <c r="AM92" s="153"/>
      <c r="AN92" s="178"/>
      <c r="AO92" s="227"/>
      <c r="AP92" s="12"/>
      <c r="AQ92" s="227"/>
      <c r="AR92" s="275"/>
      <c r="AS92" s="12" t="s">
        <v>418</v>
      </c>
    </row>
    <row r="93" spans="1:47" ht="14.25" customHeight="1" x14ac:dyDescent="0.25">
      <c r="A93" s="296"/>
      <c r="B93" s="12"/>
      <c r="C93" s="115"/>
      <c r="D93" s="188"/>
      <c r="E93" s="221">
        <f>AP$91</f>
        <v>0.1</v>
      </c>
      <c r="F93" s="190">
        <f>IF($D$4=2022,1,0)</f>
        <v>1</v>
      </c>
      <c r="G93" s="178">
        <f>IF($B96="Yes",$C$5,$I97)</f>
        <v>12</v>
      </c>
      <c r="H93" s="191">
        <f>VLOOKUP(H96,'Lookup Tables'!$A$22:$B$33,2,FALSE)</f>
        <v>3</v>
      </c>
      <c r="I93" s="192">
        <f>VLOOKUP($E$4,'Lookup Tables'!$AB$46:$AN$58,MATCH($H93,'Lookup Tables'!$AB$46:$AN$46),FALSE)</f>
        <v>12</v>
      </c>
      <c r="J93" s="190">
        <f>12-I93</f>
        <v>0</v>
      </c>
      <c r="K93" s="190">
        <f>IF(G93&lt;J93,G93,J93)</f>
        <v>0</v>
      </c>
      <c r="L93" s="195">
        <f>IF(12-I93&gt;=1,1,0)</f>
        <v>0</v>
      </c>
      <c r="M93" s="202">
        <f>((('Rate Tables'!$B29*$E93)*PersonCalcYr1!$K93)*L93)*$F93</f>
        <v>0</v>
      </c>
      <c r="N93" s="197">
        <f>G93-(J93*L93)</f>
        <v>12</v>
      </c>
      <c r="O93" s="178"/>
      <c r="P93" s="197">
        <f>IF(N93&lt;0,N93*0,1)*N93</f>
        <v>12</v>
      </c>
      <c r="Q93" s="198">
        <f>VLOOKUP(H96,'Lookup Tables'!$A$22:$B$33,2,FALSE)+(K93*L93)</f>
        <v>3</v>
      </c>
      <c r="R93" s="199" t="str">
        <f>VLOOKUP(Q93,'Lookup Tables'!$A$38:$B$151,2,FALSE)</f>
        <v>Sept</v>
      </c>
      <c r="S93" s="191">
        <f>VLOOKUP(R93,'Lookup Tables'!$A$22:$B$33,2,FALSE)</f>
        <v>3</v>
      </c>
      <c r="T93" s="672">
        <f>VLOOKUP($E$4,'Lookup Tables'!$AQ$46:$BC$58,MATCH(PersonCalcYr1!$S93,'Lookup Tables'!$AQ$46:$BC$46),FALSE)</f>
        <v>10</v>
      </c>
      <c r="U93" s="190">
        <f>IF(P93&lt;T93,P93,T93)</f>
        <v>10</v>
      </c>
      <c r="V93" s="195">
        <f>IF((U93)&lt;=0,0,1)</f>
        <v>1</v>
      </c>
      <c r="W93" s="202">
        <f>(('Rate Tables'!$C29*$E93)*PersonCalcYr1!$U93)*$V93*$F93</f>
        <v>0</v>
      </c>
      <c r="X93" s="197">
        <f>P93-(U93*V93)</f>
        <v>2</v>
      </c>
      <c r="Y93" s="178"/>
      <c r="Z93" s="178"/>
      <c r="AA93" s="178"/>
      <c r="AB93" s="197">
        <f>IF(X93&lt;0,X93*0,1)*X93</f>
        <v>2</v>
      </c>
      <c r="AC93" s="203">
        <f>S93+(U93*V93)</f>
        <v>13</v>
      </c>
      <c r="AD93" s="199" t="str">
        <f>VLOOKUP(AC93,'Lookup Tables'!$A$38:$B$151,2,FALSE)</f>
        <v>July</v>
      </c>
      <c r="AE93" s="191">
        <f>VLOOKUP(AD93,'Lookup Tables'!$A$22:$B$33,2,FALSE)</f>
        <v>1</v>
      </c>
      <c r="AF93" s="222">
        <f>VLOOKUP($AE93,'Lookup Tables'!$AC$3:$AW$16,MATCH(PersonCalcYr1!$AB93,'Lookup Tables'!$AC$3:$AW$3),FALSE)</f>
        <v>2</v>
      </c>
      <c r="AG93" s="190">
        <f>IF(AB93&lt;AF93,AB93,AF93)</f>
        <v>2</v>
      </c>
      <c r="AH93" s="195">
        <f>IF((AG93)&lt;=0,0,1)</f>
        <v>1</v>
      </c>
      <c r="AI93" s="202">
        <f>(('Rate Tables'!$D29*$E93)*PersonCalcYr1!AG93)*AH93*$F93</f>
        <v>0</v>
      </c>
      <c r="AJ93" s="197"/>
      <c r="AK93" s="178"/>
      <c r="AL93" s="178"/>
      <c r="AM93" s="202"/>
      <c r="AN93" s="178"/>
      <c r="AO93" s="227"/>
      <c r="AP93" s="12"/>
      <c r="AQ93" s="227" t="s">
        <v>451</v>
      </c>
      <c r="AR93" s="275">
        <f>(VLOOKUP($B91,'Rate Tables'!$O$2:$P$8,2,FALSE))</f>
        <v>0.3226</v>
      </c>
      <c r="AS93" s="372">
        <f>VLOOKUP('F&amp;ARatesCalc'!$B$1,'F&amp;ARatesCalc'!$A$3:$B$5,2,FALSE)</f>
        <v>0.56999999999999995</v>
      </c>
    </row>
    <row r="94" spans="1:47" ht="14.25" customHeight="1" x14ac:dyDescent="0.25">
      <c r="A94" s="296"/>
      <c r="B94" s="12"/>
      <c r="C94" s="117" t="s">
        <v>597</v>
      </c>
      <c r="D94" s="182"/>
      <c r="E94" s="153">
        <v>0</v>
      </c>
      <c r="F94" s="153" t="s">
        <v>42</v>
      </c>
      <c r="G94" s="153" t="s">
        <v>41</v>
      </c>
      <c r="H94" s="183" t="s">
        <v>77</v>
      </c>
      <c r="I94" s="219" t="s">
        <v>51</v>
      </c>
      <c r="J94" s="153" t="s">
        <v>110</v>
      </c>
      <c r="K94" s="153" t="s">
        <v>53</v>
      </c>
      <c r="L94" s="153" t="s">
        <v>82</v>
      </c>
      <c r="M94" s="153" t="s">
        <v>32</v>
      </c>
      <c r="N94" s="153" t="s">
        <v>69</v>
      </c>
      <c r="O94" s="178"/>
      <c r="P94" s="153" t="s">
        <v>72</v>
      </c>
      <c r="Q94" s="183" t="s">
        <v>80</v>
      </c>
      <c r="R94" s="187" t="s">
        <v>81</v>
      </c>
      <c r="S94" s="183" t="s">
        <v>77</v>
      </c>
      <c r="T94" s="673" t="s">
        <v>107</v>
      </c>
      <c r="U94" s="153" t="s">
        <v>78</v>
      </c>
      <c r="V94" s="153" t="s">
        <v>82</v>
      </c>
      <c r="W94" s="153" t="s">
        <v>33</v>
      </c>
      <c r="X94" s="153" t="s">
        <v>69</v>
      </c>
      <c r="Y94" s="178"/>
      <c r="Z94" s="178"/>
      <c r="AA94" s="178"/>
      <c r="AB94" s="153" t="s">
        <v>72</v>
      </c>
      <c r="AC94" s="153" t="s">
        <v>80</v>
      </c>
      <c r="AD94" s="187" t="s">
        <v>81</v>
      </c>
      <c r="AE94" s="183" t="s">
        <v>77</v>
      </c>
      <c r="AF94" s="220" t="s">
        <v>107</v>
      </c>
      <c r="AG94" s="153" t="s">
        <v>79</v>
      </c>
      <c r="AH94" s="153" t="s">
        <v>82</v>
      </c>
      <c r="AI94" s="153" t="s">
        <v>34</v>
      </c>
      <c r="AJ94" s="153"/>
      <c r="AK94" s="178"/>
      <c r="AL94" s="178"/>
      <c r="AM94" s="153"/>
      <c r="AN94" s="178"/>
      <c r="AO94" s="307" t="s">
        <v>450</v>
      </c>
      <c r="AP94" s="349">
        <f>IF(B91=0,0,1)</f>
        <v>1</v>
      </c>
      <c r="AQ94" s="227" t="s">
        <v>452</v>
      </c>
      <c r="AR94" s="275">
        <f>_xlfn.IFNA(AR93,0)</f>
        <v>0.3226</v>
      </c>
      <c r="AS94" s="12" t="s">
        <v>417</v>
      </c>
    </row>
    <row r="95" spans="1:47" ht="14.25" customHeight="1" thickBot="1" x14ac:dyDescent="0.3">
      <c r="A95" s="296"/>
      <c r="B95" s="12"/>
      <c r="C95" s="115"/>
      <c r="D95" s="188"/>
      <c r="E95" s="221">
        <f>AP$91</f>
        <v>0.1</v>
      </c>
      <c r="F95" s="190">
        <f>IF($D$4=2023,1,0)</f>
        <v>0</v>
      </c>
      <c r="G95" s="178">
        <f>IF($B96="Yes",$C$5,$I97)</f>
        <v>12</v>
      </c>
      <c r="H95" s="191">
        <f>VLOOKUP(H96,'Lookup Tables'!$A$22:$B$33,2,FALSE)</f>
        <v>3</v>
      </c>
      <c r="I95" s="192">
        <f>VLOOKUP($E$4,'Lookup Tables'!$AB$46:$AN$58,MATCH($H95,'Lookup Tables'!$AB$46:$AN$46),FALSE)</f>
        <v>12</v>
      </c>
      <c r="J95" s="190">
        <f>12-I95</f>
        <v>0</v>
      </c>
      <c r="K95" s="190">
        <f>IF(G95&lt;J95,G95,J95)</f>
        <v>0</v>
      </c>
      <c r="L95" s="195">
        <f>IF(12-I95&gt;=1,1,0)</f>
        <v>0</v>
      </c>
      <c r="M95" s="202">
        <f>((('Rate Tables'!$C29*$E95)*PersonCalcYr1!$K95)*L95)*$F95</f>
        <v>0</v>
      </c>
      <c r="N95" s="197">
        <f>G95-(J95*L95)</f>
        <v>12</v>
      </c>
      <c r="O95" s="178"/>
      <c r="P95" s="197">
        <f>IF(N95&lt;0,N95*0,1)*N95</f>
        <v>12</v>
      </c>
      <c r="Q95" s="198">
        <f>VLOOKUP(H96,'Lookup Tables'!$A$22:$B$33,2,FALSE)+(K95*L95)</f>
        <v>3</v>
      </c>
      <c r="R95" s="199" t="str">
        <f>VLOOKUP(Q95,'Lookup Tables'!$A$38:$B$151,2,FALSE)</f>
        <v>Sept</v>
      </c>
      <c r="S95" s="191">
        <f>VLOOKUP(R95,'Lookup Tables'!$A$22:$B$33,2,FALSE)</f>
        <v>3</v>
      </c>
      <c r="T95" s="672">
        <f>VLOOKUP($E$4,'Lookup Tables'!$AQ$46:$BC$58,MATCH(PersonCalcYr1!$S95,'Lookup Tables'!$AQ$46:$BC$46),FALSE)</f>
        <v>10</v>
      </c>
      <c r="U95" s="190">
        <f>IF(P95&lt;T95,P95,T95)</f>
        <v>10</v>
      </c>
      <c r="V95" s="195">
        <f>IF((U95)&lt;=0,0,1)</f>
        <v>1</v>
      </c>
      <c r="W95" s="202">
        <f>(('Rate Tables'!$D29*$E95)*PersonCalcYr1!$U95)*$V95*$F95</f>
        <v>0</v>
      </c>
      <c r="X95" s="197">
        <f>P95-(U95*V95)</f>
        <v>2</v>
      </c>
      <c r="Y95" s="178"/>
      <c r="Z95" s="178"/>
      <c r="AA95" s="178"/>
      <c r="AB95" s="197">
        <f>IF(X95&lt;0,X95*0,1)*X95</f>
        <v>2</v>
      </c>
      <c r="AC95" s="203">
        <f>S95+(U95*V95)</f>
        <v>13</v>
      </c>
      <c r="AD95" s="199" t="str">
        <f>VLOOKUP(AC95,'Lookup Tables'!$A$38:$B$151,2,FALSE)</f>
        <v>July</v>
      </c>
      <c r="AE95" s="191">
        <f>VLOOKUP(AD95,'Lookup Tables'!$A$22:$B$33,2,FALSE)</f>
        <v>1</v>
      </c>
      <c r="AF95" s="222">
        <f>VLOOKUP($AE95,'Lookup Tables'!$AC$3:$AW$16,MATCH(PersonCalcYr1!$AB95,'Lookup Tables'!$AC$3:$AW$3),FALSE)</f>
        <v>2</v>
      </c>
      <c r="AG95" s="190">
        <f>IF(AB95&lt;AF95,AB95,AF95)</f>
        <v>2</v>
      </c>
      <c r="AH95" s="195">
        <f>IF((AG95)&lt;=0,0,1)</f>
        <v>1</v>
      </c>
      <c r="AI95" s="202">
        <f>(('Rate Tables'!$E29*$E95)*PersonCalcYr1!AG95)*AH95*$F95</f>
        <v>0</v>
      </c>
      <c r="AJ95" s="197"/>
      <c r="AK95" s="178"/>
      <c r="AL95" s="178"/>
      <c r="AM95" s="202"/>
      <c r="AN95" s="178"/>
      <c r="AO95" s="311"/>
      <c r="AP95" s="12"/>
      <c r="AQ95" s="227" t="s">
        <v>453</v>
      </c>
      <c r="AR95" s="275">
        <f>IF(AR94=0,0,AR93)</f>
        <v>0.3226</v>
      </c>
      <c r="AS95" s="12">
        <f>(AR91+AR96)*AS93</f>
        <v>0</v>
      </c>
    </row>
    <row r="96" spans="1:47" ht="14.25" customHeight="1" thickBot="1" x14ac:dyDescent="0.3">
      <c r="A96" s="377" t="s">
        <v>431</v>
      </c>
      <c r="B96" s="375" t="str">
        <f>Personnel!E39</f>
        <v>YES</v>
      </c>
      <c r="C96" s="12"/>
      <c r="D96" s="178"/>
      <c r="E96" s="178"/>
      <c r="F96" s="178"/>
      <c r="G96" s="178" t="s">
        <v>430</v>
      </c>
      <c r="H96" s="178" t="str">
        <f>IF(B96="yes",$C$4,A98)</f>
        <v>Sept</v>
      </c>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227"/>
      <c r="AP96" s="12"/>
      <c r="AQ96" s="278" t="s">
        <v>415</v>
      </c>
      <c r="AR96" s="279">
        <f>AR91*AR95</f>
        <v>0</v>
      </c>
      <c r="AS96" s="373">
        <f>AR91+AR96+AS95</f>
        <v>0</v>
      </c>
      <c r="AU96" s="313"/>
    </row>
    <row r="97" spans="1:47" ht="14.25" customHeight="1" x14ac:dyDescent="0.25">
      <c r="A97" s="296" t="s">
        <v>439</v>
      </c>
      <c r="B97" s="114" t="s">
        <v>427</v>
      </c>
      <c r="C97" s="12"/>
      <c r="D97" s="178"/>
      <c r="E97" s="178"/>
      <c r="F97" s="178"/>
      <c r="G97" s="491" t="s">
        <v>555</v>
      </c>
      <c r="H97" s="175">
        <f>IF(H98&lt;$C$5, H98,$C$5)</f>
        <v>12</v>
      </c>
      <c r="I97" s="178">
        <f>IF(B98&lt;=H98,B98,H98)</f>
        <v>0</v>
      </c>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227"/>
      <c r="AP97" s="12"/>
      <c r="AQ97" s="278"/>
      <c r="AR97" s="284"/>
      <c r="AS97" s="369"/>
      <c r="AU97" s="313"/>
    </row>
    <row r="98" spans="1:47" ht="14.25" customHeight="1" x14ac:dyDescent="0.25">
      <c r="A98" s="397">
        <f>Personnel!E40</f>
        <v>0</v>
      </c>
      <c r="B98" s="273">
        <f>Personnel!E41</f>
        <v>0</v>
      </c>
      <c r="C98" s="12"/>
      <c r="D98" s="178"/>
      <c r="E98" s="178"/>
      <c r="F98" s="178"/>
      <c r="G98" s="178"/>
      <c r="H98" s="175">
        <f>VLOOKUP($E$4,'Lookup Tables'!$L$46:$AA$58,MATCH($H$93,'Lookup Tables'!$L$46:$X$46),FALSE)</f>
        <v>12</v>
      </c>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227"/>
      <c r="AP98" s="12"/>
      <c r="AQ98" s="278"/>
      <c r="AR98" s="284"/>
      <c r="AS98" s="369"/>
      <c r="AU98" s="313"/>
    </row>
    <row r="99" spans="1:47" ht="6.75" customHeight="1" thickBot="1" x14ac:dyDescent="0.3">
      <c r="A99" s="297"/>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280"/>
      <c r="AP99" s="149"/>
      <c r="AQ99" s="149"/>
      <c r="AR99" s="281"/>
      <c r="AS99" s="149"/>
    </row>
    <row r="100" spans="1:47" ht="14.25" customHeight="1" x14ac:dyDescent="0.25">
      <c r="A100" s="298" t="s">
        <v>174</v>
      </c>
      <c r="B100" s="294" t="s">
        <v>175</v>
      </c>
      <c r="C100" s="180" t="s">
        <v>606</v>
      </c>
      <c r="D100" s="179"/>
      <c r="E100" s="218"/>
      <c r="F100" s="218"/>
      <c r="G100" s="181"/>
      <c r="H100" s="181"/>
      <c r="I100" s="181"/>
      <c r="J100" s="181"/>
      <c r="K100" s="181"/>
      <c r="L100" s="181"/>
      <c r="M100" s="181"/>
      <c r="N100" s="181"/>
      <c r="O100" s="181"/>
      <c r="P100" s="181"/>
      <c r="Q100" s="181"/>
      <c r="R100" s="181"/>
      <c r="S100" s="181"/>
      <c r="T100" s="181"/>
      <c r="U100" s="181"/>
      <c r="V100" s="181"/>
      <c r="W100" s="181"/>
      <c r="X100" s="181"/>
      <c r="Y100" s="181"/>
      <c r="Z100" s="493">
        <v>44378</v>
      </c>
      <c r="AA100" s="493">
        <v>44742</v>
      </c>
      <c r="AB100" s="181"/>
      <c r="AC100" s="181"/>
      <c r="AD100" s="181"/>
      <c r="AE100" s="181"/>
      <c r="AF100" s="181"/>
      <c r="AG100" s="181"/>
      <c r="AH100" s="181"/>
      <c r="AI100" s="181"/>
      <c r="AJ100" s="181"/>
      <c r="AK100" s="181"/>
      <c r="AL100" s="181"/>
      <c r="AM100" s="181"/>
      <c r="AN100" s="181"/>
      <c r="AO100" s="282"/>
      <c r="AP100" s="144"/>
      <c r="AQ100" s="144"/>
      <c r="AR100" s="283"/>
      <c r="AS100" s="12"/>
      <c r="AU100" s="313"/>
    </row>
    <row r="101" spans="1:47" ht="15" customHeight="1" x14ac:dyDescent="0.25">
      <c r="A101" s="345">
        <f>Personnel!C45</f>
        <v>0</v>
      </c>
      <c r="B101" s="346" t="str">
        <f>Personnel!C44</f>
        <v>Prof/Admin</v>
      </c>
      <c r="C101" s="347">
        <f>Personnel!C46</f>
        <v>0</v>
      </c>
      <c r="D101" s="188"/>
      <c r="E101" s="205"/>
      <c r="F101" s="205"/>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306" t="s">
        <v>413</v>
      </c>
      <c r="AP101" s="348">
        <f>Personnel!G44</f>
        <v>0.25</v>
      </c>
      <c r="AQ101" s="278" t="s">
        <v>96</v>
      </c>
      <c r="AR101" s="279">
        <f>(M103+W103+AI103+M105+W105+AI105)*AP104</f>
        <v>0</v>
      </c>
      <c r="AS101" s="369"/>
      <c r="AU101" s="313"/>
    </row>
    <row r="102" spans="1:47" ht="14.25" customHeight="1" x14ac:dyDescent="0.25">
      <c r="A102" s="296"/>
      <c r="B102" s="12"/>
      <c r="C102" s="117" t="s">
        <v>30</v>
      </c>
      <c r="D102" s="182"/>
      <c r="E102" s="153">
        <v>0</v>
      </c>
      <c r="F102" s="153" t="s">
        <v>42</v>
      </c>
      <c r="G102" s="153" t="s">
        <v>41</v>
      </c>
      <c r="H102" s="183" t="s">
        <v>77</v>
      </c>
      <c r="I102" s="219" t="s">
        <v>50</v>
      </c>
      <c r="J102" s="153" t="s">
        <v>52</v>
      </c>
      <c r="K102" s="153" t="s">
        <v>35</v>
      </c>
      <c r="L102" s="153" t="s">
        <v>82</v>
      </c>
      <c r="M102" s="153" t="s">
        <v>31</v>
      </c>
      <c r="N102" s="153" t="s">
        <v>69</v>
      </c>
      <c r="O102" s="178"/>
      <c r="P102" s="153" t="s">
        <v>72</v>
      </c>
      <c r="Q102" s="183" t="s">
        <v>80</v>
      </c>
      <c r="R102" s="187" t="s">
        <v>81</v>
      </c>
      <c r="S102" s="183" t="s">
        <v>77</v>
      </c>
      <c r="T102" s="673" t="s">
        <v>107</v>
      </c>
      <c r="U102" s="153" t="s">
        <v>53</v>
      </c>
      <c r="V102" s="153" t="s">
        <v>82</v>
      </c>
      <c r="W102" s="153" t="s">
        <v>32</v>
      </c>
      <c r="X102" s="153" t="s">
        <v>69</v>
      </c>
      <c r="Y102" s="178"/>
      <c r="Z102" s="178"/>
      <c r="AA102" s="178"/>
      <c r="AB102" s="153" t="s">
        <v>72</v>
      </c>
      <c r="AC102" s="153" t="s">
        <v>80</v>
      </c>
      <c r="AD102" s="187" t="s">
        <v>81</v>
      </c>
      <c r="AE102" s="183" t="s">
        <v>77</v>
      </c>
      <c r="AF102" s="220" t="s">
        <v>107</v>
      </c>
      <c r="AG102" s="153" t="s">
        <v>78</v>
      </c>
      <c r="AH102" s="153" t="s">
        <v>82</v>
      </c>
      <c r="AI102" s="153" t="s">
        <v>33</v>
      </c>
      <c r="AJ102" s="153"/>
      <c r="AK102" s="178"/>
      <c r="AL102" s="178"/>
      <c r="AM102" s="153"/>
      <c r="AN102" s="178"/>
      <c r="AO102" s="227"/>
      <c r="AP102" s="12"/>
      <c r="AQ102" s="227"/>
      <c r="AR102" s="275"/>
      <c r="AS102" s="12" t="s">
        <v>418</v>
      </c>
    </row>
    <row r="103" spans="1:47" ht="14.25" customHeight="1" x14ac:dyDescent="0.25">
      <c r="A103" s="296"/>
      <c r="B103" s="12"/>
      <c r="C103" s="115"/>
      <c r="D103" s="188"/>
      <c r="E103" s="221">
        <f>AP101</f>
        <v>0.25</v>
      </c>
      <c r="F103" s="190">
        <f>IF($D$4=2022,1,0)</f>
        <v>1</v>
      </c>
      <c r="G103" s="178">
        <f>IF($B106="Yes",$C$5,$I107)</f>
        <v>12</v>
      </c>
      <c r="H103" s="191">
        <f>VLOOKUP(H106,'Lookup Tables'!$A$22:$B$33,2,FALSE)</f>
        <v>3</v>
      </c>
      <c r="I103" s="192">
        <f>VLOOKUP($E$4,'Lookup Tables'!$AB$46:$AN$58,MATCH($H103,'Lookup Tables'!$AB$46:$AN$46),FALSE)</f>
        <v>12</v>
      </c>
      <c r="J103" s="190">
        <f>12-I103</f>
        <v>0</v>
      </c>
      <c r="K103" s="190">
        <f>IF(G103&lt;J103,G103,J103)</f>
        <v>0</v>
      </c>
      <c r="L103" s="195">
        <f>IF(12-I103&gt;=1,1,0)</f>
        <v>0</v>
      </c>
      <c r="M103" s="202">
        <f>((('Rate Tables'!$B34*$E103)*PersonCalcYr1!$K103)*L103)*$F103</f>
        <v>0</v>
      </c>
      <c r="N103" s="197">
        <f>G103-(J103*L103)</f>
        <v>12</v>
      </c>
      <c r="O103" s="178"/>
      <c r="P103" s="197">
        <f>IF(N103&lt;0,N103*0,1)*N103</f>
        <v>12</v>
      </c>
      <c r="Q103" s="198">
        <f>VLOOKUP(H106,'Lookup Tables'!$A$22:$B$33,2,FALSE)+(K103*L103)</f>
        <v>3</v>
      </c>
      <c r="R103" s="199" t="str">
        <f>VLOOKUP(Q103,'Lookup Tables'!$A$38:$B$151,2,FALSE)</f>
        <v>Sept</v>
      </c>
      <c r="S103" s="191">
        <f>VLOOKUP(R103,'Lookup Tables'!$A$22:$B$33,2,FALSE)</f>
        <v>3</v>
      </c>
      <c r="T103" s="672">
        <f>VLOOKUP($E$4,'Lookup Tables'!$AQ$46:$BC$58,MATCH(PersonCalcYr1!$S103,'Lookup Tables'!$AQ$46:$BC$46),FALSE)</f>
        <v>10</v>
      </c>
      <c r="U103" s="190">
        <f>IF(P103&lt;T103,P103,T103)</f>
        <v>10</v>
      </c>
      <c r="V103" s="195">
        <f>IF((U103)&lt;=0,0,1)</f>
        <v>1</v>
      </c>
      <c r="W103" s="202">
        <f>(('Rate Tables'!$C34*$E103)*PersonCalcYr1!$U103)*$V103*$F103</f>
        <v>0</v>
      </c>
      <c r="X103" s="197">
        <f>P103-(U103*V103)</f>
        <v>2</v>
      </c>
      <c r="Y103" s="178"/>
      <c r="Z103" s="178"/>
      <c r="AA103" s="178"/>
      <c r="AB103" s="197">
        <f>IF(X103&lt;0,X103*0,1)*X103</f>
        <v>2</v>
      </c>
      <c r="AC103" s="203">
        <f>S103+(U103*V103)</f>
        <v>13</v>
      </c>
      <c r="AD103" s="199" t="str">
        <f>VLOOKUP(AC103,'Lookup Tables'!$A$38:$B$151,2,FALSE)</f>
        <v>July</v>
      </c>
      <c r="AE103" s="191">
        <f>VLOOKUP(AD103,'Lookup Tables'!$A$22:$B$33,2,FALSE)</f>
        <v>1</v>
      </c>
      <c r="AF103" s="222">
        <f>VLOOKUP($AE103,'Lookup Tables'!$AC$3:$AW$16,MATCH(PersonCalcYr1!$AB103,'Lookup Tables'!$AC$3:$AW$3),FALSE)</f>
        <v>2</v>
      </c>
      <c r="AG103" s="190">
        <f>IF(AB103&lt;AF103,AB103,AF103)</f>
        <v>2</v>
      </c>
      <c r="AH103" s="195">
        <f>IF((AG103)&lt;=0,0,1)</f>
        <v>1</v>
      </c>
      <c r="AI103" s="202">
        <f>(('Rate Tables'!$D34*$E103)*PersonCalcYr1!AG103)*AH103*$F103</f>
        <v>0</v>
      </c>
      <c r="AJ103" s="197"/>
      <c r="AK103" s="178"/>
      <c r="AL103" s="178"/>
      <c r="AM103" s="202"/>
      <c r="AN103" s="178"/>
      <c r="AO103" s="227"/>
      <c r="AP103" s="12"/>
      <c r="AQ103" s="227" t="s">
        <v>451</v>
      </c>
      <c r="AR103" s="275">
        <f>(VLOOKUP($B101,'Rate Tables'!$O$2:$P$8,2,FALSE))</f>
        <v>0.3226</v>
      </c>
      <c r="AS103" s="372">
        <f>VLOOKUP('F&amp;ARatesCalc'!$B$1,'F&amp;ARatesCalc'!$A$3:$B$5,2,FALSE)</f>
        <v>0.56999999999999995</v>
      </c>
    </row>
    <row r="104" spans="1:47" ht="14.25" customHeight="1" x14ac:dyDescent="0.25">
      <c r="A104" s="296"/>
      <c r="B104" s="12"/>
      <c r="C104" s="117" t="s">
        <v>597</v>
      </c>
      <c r="D104" s="182"/>
      <c r="E104" s="153">
        <v>0</v>
      </c>
      <c r="F104" s="153" t="s">
        <v>42</v>
      </c>
      <c r="G104" s="153" t="s">
        <v>41</v>
      </c>
      <c r="H104" s="183" t="s">
        <v>77</v>
      </c>
      <c r="I104" s="219" t="s">
        <v>51</v>
      </c>
      <c r="J104" s="153" t="s">
        <v>110</v>
      </c>
      <c r="K104" s="153" t="s">
        <v>53</v>
      </c>
      <c r="L104" s="153" t="s">
        <v>82</v>
      </c>
      <c r="M104" s="153" t="s">
        <v>32</v>
      </c>
      <c r="N104" s="153" t="s">
        <v>69</v>
      </c>
      <c r="O104" s="178"/>
      <c r="P104" s="153" t="s">
        <v>72</v>
      </c>
      <c r="Q104" s="183" t="s">
        <v>80</v>
      </c>
      <c r="R104" s="187" t="s">
        <v>81</v>
      </c>
      <c r="S104" s="183" t="s">
        <v>77</v>
      </c>
      <c r="T104" s="673" t="s">
        <v>107</v>
      </c>
      <c r="U104" s="153" t="s">
        <v>78</v>
      </c>
      <c r="V104" s="153" t="s">
        <v>82</v>
      </c>
      <c r="W104" s="153" t="s">
        <v>33</v>
      </c>
      <c r="X104" s="153" t="s">
        <v>69</v>
      </c>
      <c r="Y104" s="178"/>
      <c r="Z104" s="178"/>
      <c r="AA104" s="178"/>
      <c r="AB104" s="153" t="s">
        <v>72</v>
      </c>
      <c r="AC104" s="153" t="s">
        <v>80</v>
      </c>
      <c r="AD104" s="187" t="s">
        <v>81</v>
      </c>
      <c r="AE104" s="183" t="s">
        <v>77</v>
      </c>
      <c r="AF104" s="220" t="s">
        <v>107</v>
      </c>
      <c r="AG104" s="153" t="s">
        <v>79</v>
      </c>
      <c r="AH104" s="153" t="s">
        <v>82</v>
      </c>
      <c r="AI104" s="153" t="s">
        <v>34</v>
      </c>
      <c r="AJ104" s="153"/>
      <c r="AK104" s="178"/>
      <c r="AL104" s="178"/>
      <c r="AM104" s="153"/>
      <c r="AN104" s="178"/>
      <c r="AO104" s="307" t="s">
        <v>450</v>
      </c>
      <c r="AP104" s="349">
        <f>IF(B101=0,0,1)</f>
        <v>1</v>
      </c>
      <c r="AQ104" s="227" t="s">
        <v>452</v>
      </c>
      <c r="AR104" s="275">
        <f>_xlfn.IFNA(AR103,0)</f>
        <v>0.3226</v>
      </c>
      <c r="AS104" s="12" t="s">
        <v>417</v>
      </c>
    </row>
    <row r="105" spans="1:47" ht="14.25" customHeight="1" thickBot="1" x14ac:dyDescent="0.3">
      <c r="A105" s="296"/>
      <c r="B105" s="12"/>
      <c r="C105" s="115"/>
      <c r="D105" s="188"/>
      <c r="E105" s="221">
        <f>AP101</f>
        <v>0.25</v>
      </c>
      <c r="F105" s="190">
        <f>IF($D$4=2023,1,0)</f>
        <v>0</v>
      </c>
      <c r="G105" s="178">
        <f>IF($B106="Yes",$C$5,$I107)</f>
        <v>12</v>
      </c>
      <c r="H105" s="191">
        <f>VLOOKUP(H106,'Lookup Tables'!$A$22:$B$33,2,FALSE)</f>
        <v>3</v>
      </c>
      <c r="I105" s="192">
        <f>VLOOKUP($E$4,'Lookup Tables'!$AB$46:$AN$58,MATCH($H105,'Lookup Tables'!$AB$46:$AN$46),FALSE)</f>
        <v>12</v>
      </c>
      <c r="J105" s="190">
        <f>12-I105</f>
        <v>0</v>
      </c>
      <c r="K105" s="190">
        <f>IF(G105&lt;J105,G105,J105)</f>
        <v>0</v>
      </c>
      <c r="L105" s="195">
        <f>IF(12-I105&gt;=1,1,0)</f>
        <v>0</v>
      </c>
      <c r="M105" s="202">
        <f>((('Rate Tables'!$C34*$E105)*PersonCalcYr1!$K105)*L105)*$F105</f>
        <v>0</v>
      </c>
      <c r="N105" s="197">
        <f>G105-(J105*L105)</f>
        <v>12</v>
      </c>
      <c r="O105" s="178"/>
      <c r="P105" s="197">
        <f>IF(N105&lt;0,N105*0,1)*N105</f>
        <v>12</v>
      </c>
      <c r="Q105" s="198">
        <f>VLOOKUP(H106,'Lookup Tables'!$A$22:$B$33,2,FALSE)+(K105*L105)</f>
        <v>3</v>
      </c>
      <c r="R105" s="199" t="str">
        <f>VLOOKUP(Q105,'Lookup Tables'!$A$38:$B$151,2,FALSE)</f>
        <v>Sept</v>
      </c>
      <c r="S105" s="191">
        <f>VLOOKUP(R105,'Lookup Tables'!$A$22:$B$33,2,FALSE)</f>
        <v>3</v>
      </c>
      <c r="T105" s="672">
        <f>VLOOKUP($E$4,'Lookup Tables'!$AQ$46:$BC$58,MATCH(PersonCalcYr1!$S105,'Lookup Tables'!$AQ$46:$BC$46),FALSE)</f>
        <v>10</v>
      </c>
      <c r="U105" s="190">
        <f>IF(P105&lt;T105,P105,T105)</f>
        <v>10</v>
      </c>
      <c r="V105" s="195">
        <f>IF((U105)&lt;=0,0,1)</f>
        <v>1</v>
      </c>
      <c r="W105" s="202">
        <f>(('Rate Tables'!$D34*$E105)*PersonCalcYr1!$U105)*$V105*$F105</f>
        <v>0</v>
      </c>
      <c r="X105" s="197">
        <f>P105-(U105*V105)</f>
        <v>2</v>
      </c>
      <c r="Y105" s="178"/>
      <c r="Z105" s="178"/>
      <c r="AA105" s="178"/>
      <c r="AB105" s="197">
        <f>IF(X105&lt;0,X105*0,1)*X105</f>
        <v>2</v>
      </c>
      <c r="AC105" s="203">
        <f>S105+(U105*V105)</f>
        <v>13</v>
      </c>
      <c r="AD105" s="199" t="str">
        <f>VLOOKUP(AC105,'Lookup Tables'!$A$38:$B$151,2,FALSE)</f>
        <v>July</v>
      </c>
      <c r="AE105" s="191">
        <f>VLOOKUP(AD105,'Lookup Tables'!$A$22:$B$33,2,FALSE)</f>
        <v>1</v>
      </c>
      <c r="AF105" s="222">
        <f>VLOOKUP($AE105,'Lookup Tables'!$AC$3:$AW$16,MATCH(PersonCalcYr1!$AB105,'Lookup Tables'!$AC$3:$AW$3),FALSE)</f>
        <v>2</v>
      </c>
      <c r="AG105" s="190">
        <f>IF(AB105&lt;AF105,AB105,AF105)</f>
        <v>2</v>
      </c>
      <c r="AH105" s="195">
        <f>IF((AG105)&lt;=0,0,1)</f>
        <v>1</v>
      </c>
      <c r="AI105" s="202">
        <f>(('Rate Tables'!$E34*$E105)*PersonCalcYr1!AG105)*AH105*$F105</f>
        <v>0</v>
      </c>
      <c r="AJ105" s="197"/>
      <c r="AK105" s="178"/>
      <c r="AL105" s="178"/>
      <c r="AM105" s="202"/>
      <c r="AN105" s="178"/>
      <c r="AO105" s="311"/>
      <c r="AP105" s="12"/>
      <c r="AQ105" s="227" t="s">
        <v>453</v>
      </c>
      <c r="AR105" s="275">
        <f>IF(AR104=0,0,AR103)</f>
        <v>0.3226</v>
      </c>
      <c r="AS105" s="12">
        <f>(AR101+AR106)*AS103</f>
        <v>0</v>
      </c>
    </row>
    <row r="106" spans="1:47" ht="14.25" customHeight="1" thickBot="1" x14ac:dyDescent="0.3">
      <c r="A106" s="377" t="s">
        <v>431</v>
      </c>
      <c r="B106" s="375" t="str">
        <f>Personnel!E44</f>
        <v>YES</v>
      </c>
      <c r="C106" s="12"/>
      <c r="D106" s="178"/>
      <c r="E106" s="178"/>
      <c r="F106" s="178"/>
      <c r="G106" s="178" t="s">
        <v>430</v>
      </c>
      <c r="H106" s="178" t="str">
        <f>IF(B106="yes",$C$4,A108)</f>
        <v>Sept</v>
      </c>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227"/>
      <c r="AP106" s="12"/>
      <c r="AQ106" s="278" t="s">
        <v>415</v>
      </c>
      <c r="AR106" s="279">
        <f>AR101*AR105</f>
        <v>0</v>
      </c>
      <c r="AS106" s="398">
        <f>AR101+AR106+AS105</f>
        <v>0</v>
      </c>
    </row>
    <row r="107" spans="1:47" ht="14.25" customHeight="1" x14ac:dyDescent="0.25">
      <c r="A107" s="296" t="s">
        <v>439</v>
      </c>
      <c r="B107" s="114" t="s">
        <v>427</v>
      </c>
      <c r="C107" s="12"/>
      <c r="D107" s="178"/>
      <c r="E107" s="178"/>
      <c r="F107" s="178"/>
      <c r="G107" s="491" t="s">
        <v>555</v>
      </c>
      <c r="H107" s="175">
        <f>IF(H108&lt;$C$5, H108,$C$5)</f>
        <v>12</v>
      </c>
      <c r="I107" s="178">
        <f>IF(B108&lt;=H108,B108,H108)</f>
        <v>0</v>
      </c>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227"/>
      <c r="AP107" s="12"/>
      <c r="AQ107" s="278"/>
      <c r="AR107" s="284"/>
      <c r="AS107" s="399"/>
    </row>
    <row r="108" spans="1:47" ht="14.25" customHeight="1" x14ac:dyDescent="0.25">
      <c r="A108" s="397">
        <f>Personnel!E45</f>
        <v>0</v>
      </c>
      <c r="B108" s="273">
        <f>Personnel!E46</f>
        <v>0</v>
      </c>
      <c r="C108" s="12"/>
      <c r="D108" s="178"/>
      <c r="E108" s="178"/>
      <c r="F108" s="178"/>
      <c r="G108" s="178"/>
      <c r="H108" s="175">
        <f>VLOOKUP($E$4,'Lookup Tables'!$L$46:$AA$58,MATCH($H$103,'Lookup Tables'!$L$46:$X$46),FALSE)</f>
        <v>12</v>
      </c>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227"/>
      <c r="AP108" s="12"/>
      <c r="AQ108" s="278"/>
      <c r="AR108" s="284"/>
      <c r="AS108" s="369"/>
    </row>
    <row r="109" spans="1:47" ht="16.5" customHeight="1" thickBot="1" x14ac:dyDescent="0.3">
      <c r="A109" s="297"/>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280"/>
      <c r="AP109" s="149"/>
      <c r="AQ109" s="149"/>
      <c r="AR109" s="281"/>
      <c r="AS109" s="149"/>
    </row>
    <row r="110" spans="1:47" ht="14.25" customHeight="1" x14ac:dyDescent="0.25">
      <c r="A110" s="298" t="s">
        <v>174</v>
      </c>
      <c r="B110" s="294" t="s">
        <v>176</v>
      </c>
      <c r="C110" s="180" t="s">
        <v>606</v>
      </c>
      <c r="D110" s="179"/>
      <c r="E110" s="218"/>
      <c r="F110" s="218"/>
      <c r="G110" s="181"/>
      <c r="H110" s="181"/>
      <c r="I110" s="181"/>
      <c r="J110" s="181"/>
      <c r="K110" s="181"/>
      <c r="L110" s="181"/>
      <c r="M110" s="181"/>
      <c r="N110" s="181"/>
      <c r="O110" s="181"/>
      <c r="P110" s="181"/>
      <c r="Q110" s="181"/>
      <c r="R110" s="181"/>
      <c r="S110" s="181"/>
      <c r="T110" s="181"/>
      <c r="U110" s="181"/>
      <c r="V110" s="181"/>
      <c r="W110" s="181"/>
      <c r="X110" s="181"/>
      <c r="Y110" s="181"/>
      <c r="Z110" s="493">
        <v>44378</v>
      </c>
      <c r="AA110" s="493">
        <v>44742</v>
      </c>
      <c r="AB110" s="181"/>
      <c r="AC110" s="181"/>
      <c r="AD110" s="181"/>
      <c r="AE110" s="181"/>
      <c r="AF110" s="181"/>
      <c r="AG110" s="181"/>
      <c r="AH110" s="181"/>
      <c r="AI110" s="181"/>
      <c r="AJ110" s="181"/>
      <c r="AK110" s="181"/>
      <c r="AL110" s="181"/>
      <c r="AM110" s="181"/>
      <c r="AN110" s="181"/>
      <c r="AO110" s="282"/>
      <c r="AP110" s="144"/>
      <c r="AQ110" s="144"/>
      <c r="AR110" s="283"/>
      <c r="AS110" s="12"/>
    </row>
    <row r="111" spans="1:47" ht="14.25" customHeight="1" x14ac:dyDescent="0.25">
      <c r="A111" s="345">
        <f>Personnel!C50</f>
        <v>0</v>
      </c>
      <c r="B111" s="346" t="str">
        <f>Personnel!C49</f>
        <v>Prof/Admin</v>
      </c>
      <c r="C111" s="347">
        <f>Personnel!C51</f>
        <v>0</v>
      </c>
      <c r="D111" s="188"/>
      <c r="E111" s="205"/>
      <c r="F111" s="205"/>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306" t="s">
        <v>413</v>
      </c>
      <c r="AP111" s="348">
        <f>Personnel!G49</f>
        <v>0.2</v>
      </c>
      <c r="AQ111" s="278" t="s">
        <v>96</v>
      </c>
      <c r="AR111" s="279">
        <f>(M113+W113+AI113+M115+W115+AI115)*AP114</f>
        <v>0</v>
      </c>
      <c r="AS111" s="369"/>
    </row>
    <row r="112" spans="1:47" ht="14.25" customHeight="1" x14ac:dyDescent="0.25">
      <c r="A112" s="296"/>
      <c r="B112" s="12"/>
      <c r="C112" s="117" t="s">
        <v>30</v>
      </c>
      <c r="D112" s="182"/>
      <c r="E112" s="153">
        <v>0</v>
      </c>
      <c r="F112" s="153" t="s">
        <v>42</v>
      </c>
      <c r="G112" s="153" t="s">
        <v>41</v>
      </c>
      <c r="H112" s="183" t="s">
        <v>77</v>
      </c>
      <c r="I112" s="219" t="s">
        <v>50</v>
      </c>
      <c r="J112" s="153" t="s">
        <v>52</v>
      </c>
      <c r="K112" s="153" t="s">
        <v>35</v>
      </c>
      <c r="L112" s="153" t="s">
        <v>82</v>
      </c>
      <c r="M112" s="153" t="s">
        <v>31</v>
      </c>
      <c r="N112" s="153" t="s">
        <v>69</v>
      </c>
      <c r="O112" s="178"/>
      <c r="P112" s="153" t="s">
        <v>72</v>
      </c>
      <c r="Q112" s="183" t="s">
        <v>80</v>
      </c>
      <c r="R112" s="187" t="s">
        <v>81</v>
      </c>
      <c r="S112" s="183" t="s">
        <v>77</v>
      </c>
      <c r="T112" s="673" t="s">
        <v>107</v>
      </c>
      <c r="U112" s="153" t="s">
        <v>53</v>
      </c>
      <c r="V112" s="153" t="s">
        <v>82</v>
      </c>
      <c r="W112" s="153" t="s">
        <v>32</v>
      </c>
      <c r="X112" s="153" t="s">
        <v>69</v>
      </c>
      <c r="Y112" s="178"/>
      <c r="Z112" s="178"/>
      <c r="AA112" s="178"/>
      <c r="AB112" s="153" t="s">
        <v>72</v>
      </c>
      <c r="AC112" s="153" t="s">
        <v>80</v>
      </c>
      <c r="AD112" s="187" t="s">
        <v>81</v>
      </c>
      <c r="AE112" s="183" t="s">
        <v>77</v>
      </c>
      <c r="AF112" s="220" t="s">
        <v>107</v>
      </c>
      <c r="AG112" s="153" t="s">
        <v>78</v>
      </c>
      <c r="AH112" s="153" t="s">
        <v>82</v>
      </c>
      <c r="AI112" s="153" t="s">
        <v>33</v>
      </c>
      <c r="AJ112" s="153"/>
      <c r="AK112" s="178"/>
      <c r="AL112" s="178"/>
      <c r="AM112" s="153"/>
      <c r="AN112" s="178"/>
      <c r="AO112" s="227"/>
      <c r="AP112" s="12"/>
      <c r="AQ112" s="227"/>
      <c r="AR112" s="275"/>
      <c r="AS112" s="12" t="s">
        <v>418</v>
      </c>
    </row>
    <row r="113" spans="1:45" ht="14.25" customHeight="1" x14ac:dyDescent="0.25">
      <c r="A113" s="296"/>
      <c r="B113" s="12"/>
      <c r="C113" s="115"/>
      <c r="D113" s="188"/>
      <c r="E113" s="221">
        <f>AP111</f>
        <v>0.2</v>
      </c>
      <c r="F113" s="190">
        <f>IF($D$4=2022,1,0)</f>
        <v>1</v>
      </c>
      <c r="G113" s="178">
        <f>IF($B116="Yes",$C$5,$I117)</f>
        <v>12</v>
      </c>
      <c r="H113" s="191">
        <f>VLOOKUP(H116,'Lookup Tables'!$A$22:$B$33,2,FALSE)</f>
        <v>3</v>
      </c>
      <c r="I113" s="192">
        <f>VLOOKUP($E$4,'Lookup Tables'!$AB$46:$AN$58,MATCH($H113,'Lookup Tables'!$AB$46:$AN$46),FALSE)</f>
        <v>12</v>
      </c>
      <c r="J113" s="190">
        <f>12-I113</f>
        <v>0</v>
      </c>
      <c r="K113" s="190">
        <f>IF(G113&lt;J113,G113,J113)</f>
        <v>0</v>
      </c>
      <c r="L113" s="195">
        <f>IF(12-I113&gt;=1,1,0)</f>
        <v>0</v>
      </c>
      <c r="M113" s="202">
        <f>((('Rate Tables'!$B39*$E113)*PersonCalcYr1!$K113)*L113)*$F113</f>
        <v>0</v>
      </c>
      <c r="N113" s="197">
        <f>G113-(J113*L113)</f>
        <v>12</v>
      </c>
      <c r="O113" s="178"/>
      <c r="P113" s="197">
        <f>IF(N113&lt;0,N113*0,1)*N113</f>
        <v>12</v>
      </c>
      <c r="Q113" s="198">
        <f>VLOOKUP(H116,'Lookup Tables'!$A$22:$B$33,2,FALSE)+(K113*L113)</f>
        <v>3</v>
      </c>
      <c r="R113" s="199" t="str">
        <f>VLOOKUP(Q113,'Lookup Tables'!$A$38:$B$151,2,FALSE)</f>
        <v>Sept</v>
      </c>
      <c r="S113" s="191">
        <f>VLOOKUP(R113,'Lookup Tables'!$A$22:$B$33,2,FALSE)</f>
        <v>3</v>
      </c>
      <c r="T113" s="672">
        <f>VLOOKUP($E$4,'Lookup Tables'!$AQ$46:$BC$58,MATCH(PersonCalcYr1!$S113,'Lookup Tables'!$AQ$46:$BC$46),FALSE)</f>
        <v>10</v>
      </c>
      <c r="U113" s="190">
        <f>IF(P113&lt;T113,P113,T113)</f>
        <v>10</v>
      </c>
      <c r="V113" s="195">
        <f>IF((U113)&lt;=0,0,1)</f>
        <v>1</v>
      </c>
      <c r="W113" s="202">
        <f>(('Rate Tables'!$C39*$E113)*PersonCalcYr1!$U113)*$V113*$F113</f>
        <v>0</v>
      </c>
      <c r="X113" s="197">
        <f>P113-(U113*V113)</f>
        <v>2</v>
      </c>
      <c r="Y113" s="178"/>
      <c r="Z113" s="178"/>
      <c r="AA113" s="178"/>
      <c r="AB113" s="197">
        <f>IF(X113&lt;0,X113*0,1)*X113</f>
        <v>2</v>
      </c>
      <c r="AC113" s="203">
        <f>S113+(U113*V113)</f>
        <v>13</v>
      </c>
      <c r="AD113" s="199" t="str">
        <f>VLOOKUP(AC113,'Lookup Tables'!$A$38:$B$151,2,FALSE)</f>
        <v>July</v>
      </c>
      <c r="AE113" s="191">
        <f>VLOOKUP(AD113,'Lookup Tables'!$A$22:$B$33,2,FALSE)</f>
        <v>1</v>
      </c>
      <c r="AF113" s="222">
        <f>VLOOKUP($AE113,'Lookup Tables'!$AC$3:$AW$16,MATCH(PersonCalcYr1!$AB113,'Lookup Tables'!$AC$3:$AW$3),FALSE)</f>
        <v>2</v>
      </c>
      <c r="AG113" s="190">
        <f>IF(AB113&lt;AF113,AB113,AF113)</f>
        <v>2</v>
      </c>
      <c r="AH113" s="195">
        <f>IF((AG113)&lt;=0,0,1)</f>
        <v>1</v>
      </c>
      <c r="AI113" s="202">
        <f>(('Rate Tables'!$D39*$E113)*PersonCalcYr1!AG113)*AH113*$F113</f>
        <v>0</v>
      </c>
      <c r="AJ113" s="197"/>
      <c r="AK113" s="178"/>
      <c r="AL113" s="178"/>
      <c r="AM113" s="202"/>
      <c r="AN113" s="178"/>
      <c r="AO113" s="227"/>
      <c r="AP113" s="12"/>
      <c r="AQ113" s="227" t="s">
        <v>451</v>
      </c>
      <c r="AR113" s="275">
        <f>(VLOOKUP($B111,'Rate Tables'!$O$2:$P$8,2,FALSE))</f>
        <v>0.3226</v>
      </c>
      <c r="AS113" s="372">
        <f>VLOOKUP('F&amp;ARatesCalc'!$B$1,'F&amp;ARatesCalc'!$A$3:$B$5,2,FALSE)</f>
        <v>0.56999999999999995</v>
      </c>
    </row>
    <row r="114" spans="1:45" ht="14.25" customHeight="1" x14ac:dyDescent="0.25">
      <c r="A114" s="296"/>
      <c r="B114" s="12"/>
      <c r="C114" s="117" t="s">
        <v>597</v>
      </c>
      <c r="D114" s="182"/>
      <c r="E114" s="153">
        <v>0</v>
      </c>
      <c r="F114" s="153" t="s">
        <v>42</v>
      </c>
      <c r="G114" s="153" t="s">
        <v>41</v>
      </c>
      <c r="H114" s="183" t="s">
        <v>77</v>
      </c>
      <c r="I114" s="219" t="s">
        <v>51</v>
      </c>
      <c r="J114" s="153" t="s">
        <v>110</v>
      </c>
      <c r="K114" s="153" t="s">
        <v>53</v>
      </c>
      <c r="L114" s="153" t="s">
        <v>82</v>
      </c>
      <c r="M114" s="153" t="s">
        <v>32</v>
      </c>
      <c r="N114" s="153" t="s">
        <v>69</v>
      </c>
      <c r="O114" s="178"/>
      <c r="P114" s="153" t="s">
        <v>72</v>
      </c>
      <c r="Q114" s="183" t="s">
        <v>80</v>
      </c>
      <c r="R114" s="187" t="s">
        <v>81</v>
      </c>
      <c r="S114" s="183" t="s">
        <v>77</v>
      </c>
      <c r="T114" s="673" t="s">
        <v>107</v>
      </c>
      <c r="U114" s="153" t="s">
        <v>78</v>
      </c>
      <c r="V114" s="153" t="s">
        <v>82</v>
      </c>
      <c r="W114" s="153" t="s">
        <v>33</v>
      </c>
      <c r="X114" s="153" t="s">
        <v>69</v>
      </c>
      <c r="Y114" s="178"/>
      <c r="Z114" s="178"/>
      <c r="AA114" s="178"/>
      <c r="AB114" s="153" t="s">
        <v>72</v>
      </c>
      <c r="AC114" s="153" t="s">
        <v>80</v>
      </c>
      <c r="AD114" s="187" t="s">
        <v>81</v>
      </c>
      <c r="AE114" s="183" t="s">
        <v>77</v>
      </c>
      <c r="AF114" s="220" t="s">
        <v>107</v>
      </c>
      <c r="AG114" s="153" t="s">
        <v>79</v>
      </c>
      <c r="AH114" s="153" t="s">
        <v>82</v>
      </c>
      <c r="AI114" s="153" t="s">
        <v>34</v>
      </c>
      <c r="AJ114" s="153"/>
      <c r="AK114" s="178"/>
      <c r="AL114" s="178"/>
      <c r="AM114" s="153"/>
      <c r="AN114" s="178"/>
      <c r="AO114" s="307" t="s">
        <v>450</v>
      </c>
      <c r="AP114" s="349">
        <f>IF(B111=0,0,1)</f>
        <v>1</v>
      </c>
      <c r="AQ114" s="227" t="s">
        <v>452</v>
      </c>
      <c r="AR114" s="275">
        <f>_xlfn.IFNA(AR113,0)</f>
        <v>0.3226</v>
      </c>
      <c r="AS114" s="12" t="s">
        <v>417</v>
      </c>
    </row>
    <row r="115" spans="1:45" ht="14.25" customHeight="1" thickBot="1" x14ac:dyDescent="0.3">
      <c r="A115" s="296"/>
      <c r="B115" s="12"/>
      <c r="C115" s="115"/>
      <c r="D115" s="188"/>
      <c r="E115" s="221">
        <f>AP111</f>
        <v>0.2</v>
      </c>
      <c r="F115" s="190">
        <f>IF($D$4=2023,1,0)</f>
        <v>0</v>
      </c>
      <c r="G115" s="178">
        <f>IF($B116="Yes",$C$5,$I117)</f>
        <v>12</v>
      </c>
      <c r="H115" s="191">
        <f>VLOOKUP(H116,'Lookup Tables'!$A$22:$B$33,2,FALSE)</f>
        <v>3</v>
      </c>
      <c r="I115" s="192">
        <f>VLOOKUP($E$4,'Lookup Tables'!$AB$46:$AN$58,MATCH($H115,'Lookup Tables'!$AB$46:$AN$46),FALSE)</f>
        <v>12</v>
      </c>
      <c r="J115" s="190">
        <f>12-I115</f>
        <v>0</v>
      </c>
      <c r="K115" s="190">
        <f>IF(G115&lt;J115,G115,J115)</f>
        <v>0</v>
      </c>
      <c r="L115" s="195">
        <f>IF(12-I115&gt;=1,1,0)</f>
        <v>0</v>
      </c>
      <c r="M115" s="202">
        <f>((('Rate Tables'!$C39*$E115)*PersonCalcYr1!$K115)*L115)*$F115</f>
        <v>0</v>
      </c>
      <c r="N115" s="197">
        <f>G115-(J115*L115)</f>
        <v>12</v>
      </c>
      <c r="O115" s="178"/>
      <c r="P115" s="197">
        <f>IF(N115&lt;0,N115*0,1)*N115</f>
        <v>12</v>
      </c>
      <c r="Q115" s="198">
        <f>VLOOKUP($H116,'Lookup Tables'!$A$22:$B$33,2,FALSE)+(K115*L115)</f>
        <v>3</v>
      </c>
      <c r="R115" s="199" t="str">
        <f>VLOOKUP(Q115,'Lookup Tables'!$A$38:$B$151,2,FALSE)</f>
        <v>Sept</v>
      </c>
      <c r="S115" s="191">
        <f>VLOOKUP(R115,'Lookup Tables'!$A$22:$B$33,2,FALSE)</f>
        <v>3</v>
      </c>
      <c r="T115" s="672">
        <f>VLOOKUP($E$4,'Lookup Tables'!$AQ$46:$BC$58,MATCH(PersonCalcYr1!$S115,'Lookup Tables'!$AQ$46:$BC$46),FALSE)</f>
        <v>10</v>
      </c>
      <c r="U115" s="190">
        <f>IF(P115&lt;T115,P115,T115)</f>
        <v>10</v>
      </c>
      <c r="V115" s="195">
        <f>IF((U115)&lt;=0,0,1)</f>
        <v>1</v>
      </c>
      <c r="W115" s="202">
        <f>(('Rate Tables'!$D39*$E115)*PersonCalcYr1!$U115)*$V115*$F115</f>
        <v>0</v>
      </c>
      <c r="X115" s="197">
        <f>P115-(U115*V115)</f>
        <v>2</v>
      </c>
      <c r="Y115" s="178"/>
      <c r="Z115" s="178"/>
      <c r="AA115" s="178"/>
      <c r="AB115" s="197">
        <f>IF(X115&lt;0,X115*0,1)*X115</f>
        <v>2</v>
      </c>
      <c r="AC115" s="203">
        <f>S115+(U115*V115)</f>
        <v>13</v>
      </c>
      <c r="AD115" s="199" t="str">
        <f>VLOOKUP(AC115,'Lookup Tables'!$A$38:$B$151,2,FALSE)</f>
        <v>July</v>
      </c>
      <c r="AE115" s="191">
        <f>VLOOKUP(AD115,'Lookup Tables'!$A$22:$B$33,2,FALSE)</f>
        <v>1</v>
      </c>
      <c r="AF115" s="222">
        <f>VLOOKUP($AE115,'Lookup Tables'!$AC$3:$AW$16,MATCH(PersonCalcYr1!$AB115,'Lookup Tables'!$AC$3:$AW$3),FALSE)</f>
        <v>2</v>
      </c>
      <c r="AG115" s="190">
        <f>IF(AB115&lt;AF115,AB115,AF115)</f>
        <v>2</v>
      </c>
      <c r="AH115" s="195">
        <f>IF((AG115)&lt;=0,0,1)</f>
        <v>1</v>
      </c>
      <c r="AI115" s="202">
        <f>(('Rate Tables'!$E39*$E115)*PersonCalcYr1!AG115)*AH115*$F115</f>
        <v>0</v>
      </c>
      <c r="AJ115" s="197"/>
      <c r="AK115" s="178"/>
      <c r="AL115" s="178"/>
      <c r="AM115" s="202"/>
      <c r="AN115" s="178"/>
      <c r="AO115" s="311"/>
      <c r="AP115" s="12"/>
      <c r="AQ115" s="227" t="s">
        <v>453</v>
      </c>
      <c r="AR115" s="275">
        <f>IF(AR114=0,0,AR113)</f>
        <v>0.3226</v>
      </c>
      <c r="AS115" s="12">
        <f>(AR111+AR116)*AS113</f>
        <v>0</v>
      </c>
    </row>
    <row r="116" spans="1:45" ht="14.25" customHeight="1" thickBot="1" x14ac:dyDescent="0.3">
      <c r="A116" s="377" t="s">
        <v>431</v>
      </c>
      <c r="B116" s="375" t="str">
        <f>Personnel!E49</f>
        <v>YES</v>
      </c>
      <c r="C116" s="12"/>
      <c r="D116" s="178"/>
      <c r="E116" s="178"/>
      <c r="F116" s="178"/>
      <c r="G116" s="178" t="s">
        <v>430</v>
      </c>
      <c r="H116" s="178" t="str">
        <f>IF(B116="yes",$C$4,A118)</f>
        <v>Sept</v>
      </c>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227"/>
      <c r="AP116" s="12"/>
      <c r="AQ116" s="278" t="s">
        <v>415</v>
      </c>
      <c r="AR116" s="279">
        <f>AR111*AR115</f>
        <v>0</v>
      </c>
      <c r="AS116" s="398">
        <f>AR111+AR116+AS115</f>
        <v>0</v>
      </c>
    </row>
    <row r="117" spans="1:45" ht="14.25" customHeight="1" x14ac:dyDescent="0.25">
      <c r="A117" s="296" t="s">
        <v>439</v>
      </c>
      <c r="B117" s="114" t="s">
        <v>427</v>
      </c>
      <c r="C117" s="12"/>
      <c r="D117" s="178"/>
      <c r="E117" s="178"/>
      <c r="F117" s="178"/>
      <c r="G117" s="491" t="s">
        <v>555</v>
      </c>
      <c r="H117" s="175">
        <f>IF(H118&lt;$C$5, H118,$C$5)</f>
        <v>12</v>
      </c>
      <c r="I117" s="178">
        <f>IF(B118&lt;=H118,B118,H118)</f>
        <v>0</v>
      </c>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227"/>
      <c r="AP117" s="12"/>
      <c r="AQ117" s="278"/>
      <c r="AR117" s="284"/>
      <c r="AS117" s="399"/>
    </row>
    <row r="118" spans="1:45" ht="14.25" customHeight="1" x14ac:dyDescent="0.25">
      <c r="A118" s="397">
        <f>Personnel!E50</f>
        <v>0</v>
      </c>
      <c r="B118" s="273">
        <f>Personnel!E51</f>
        <v>0</v>
      </c>
      <c r="C118" s="12"/>
      <c r="D118" s="178"/>
      <c r="E118" s="178"/>
      <c r="F118" s="178"/>
      <c r="G118" s="178"/>
      <c r="H118" s="175">
        <f>VLOOKUP($E$4,'Lookup Tables'!$L$46:$AA$58,MATCH($H$113,'Lookup Tables'!$L$46:$X$46),FALSE)</f>
        <v>12</v>
      </c>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227"/>
      <c r="AP118" s="12"/>
      <c r="AQ118" s="278"/>
      <c r="AR118" s="284"/>
      <c r="AS118" s="369"/>
    </row>
    <row r="119" spans="1:45" ht="6.75" customHeight="1" thickBot="1" x14ac:dyDescent="0.3">
      <c r="A119" s="297"/>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280"/>
      <c r="AP119" s="149"/>
      <c r="AQ119" s="149"/>
      <c r="AR119" s="281"/>
      <c r="AS119" s="149"/>
    </row>
    <row r="120" spans="1:45" ht="14.25" customHeight="1" x14ac:dyDescent="0.25">
      <c r="A120" s="298" t="s">
        <v>174</v>
      </c>
      <c r="B120" s="294" t="s">
        <v>189</v>
      </c>
      <c r="C120" s="180" t="s">
        <v>606</v>
      </c>
      <c r="D120" s="179"/>
      <c r="E120" s="218"/>
      <c r="F120" s="218"/>
      <c r="G120" s="181"/>
      <c r="H120" s="181"/>
      <c r="I120" s="181"/>
      <c r="J120" s="181"/>
      <c r="K120" s="181"/>
      <c r="L120" s="181"/>
      <c r="M120" s="181"/>
      <c r="N120" s="181"/>
      <c r="O120" s="181"/>
      <c r="P120" s="181"/>
      <c r="Q120" s="181"/>
      <c r="R120" s="181"/>
      <c r="S120" s="181"/>
      <c r="T120" s="181"/>
      <c r="U120" s="181"/>
      <c r="V120" s="181"/>
      <c r="W120" s="181"/>
      <c r="X120" s="181"/>
      <c r="Y120" s="181"/>
      <c r="Z120" s="493">
        <v>44378</v>
      </c>
      <c r="AA120" s="493">
        <v>44742</v>
      </c>
      <c r="AB120" s="181"/>
      <c r="AC120" s="181"/>
      <c r="AD120" s="181"/>
      <c r="AE120" s="181"/>
      <c r="AF120" s="181"/>
      <c r="AG120" s="181"/>
      <c r="AH120" s="181"/>
      <c r="AI120" s="181"/>
      <c r="AJ120" s="181"/>
      <c r="AK120" s="181"/>
      <c r="AL120" s="181"/>
      <c r="AM120" s="181"/>
      <c r="AN120" s="181"/>
      <c r="AO120" s="282"/>
      <c r="AP120" s="144"/>
      <c r="AQ120" s="144"/>
      <c r="AR120" s="283"/>
      <c r="AS120" s="12"/>
    </row>
    <row r="121" spans="1:45" ht="14.25" customHeight="1" x14ac:dyDescent="0.25">
      <c r="A121" s="345">
        <f>Personnel!C55</f>
        <v>0</v>
      </c>
      <c r="B121" s="346" t="str">
        <f>Personnel!C54</f>
        <v>Prof/Admin</v>
      </c>
      <c r="C121" s="347">
        <f>Personnel!C56</f>
        <v>0</v>
      </c>
      <c r="D121" s="188"/>
      <c r="E121" s="205"/>
      <c r="F121" s="205"/>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306" t="s">
        <v>413</v>
      </c>
      <c r="AP121" s="348">
        <f>Personnel!G54</f>
        <v>1</v>
      </c>
      <c r="AQ121" s="278" t="s">
        <v>96</v>
      </c>
      <c r="AR121" s="279">
        <f>(M123+W123+AI123+M125+W125+AI125)*AP124</f>
        <v>0</v>
      </c>
      <c r="AS121" s="369"/>
    </row>
    <row r="122" spans="1:45" ht="14.25" customHeight="1" x14ac:dyDescent="0.25">
      <c r="A122" s="296"/>
      <c r="B122" s="12"/>
      <c r="C122" s="117" t="s">
        <v>30</v>
      </c>
      <c r="D122" s="182"/>
      <c r="E122" s="153">
        <v>0</v>
      </c>
      <c r="F122" s="153" t="s">
        <v>42</v>
      </c>
      <c r="G122" s="153" t="s">
        <v>41</v>
      </c>
      <c r="H122" s="183" t="s">
        <v>77</v>
      </c>
      <c r="I122" s="219" t="s">
        <v>50</v>
      </c>
      <c r="J122" s="153" t="s">
        <v>52</v>
      </c>
      <c r="K122" s="153" t="s">
        <v>35</v>
      </c>
      <c r="L122" s="153" t="s">
        <v>82</v>
      </c>
      <c r="M122" s="153" t="s">
        <v>31</v>
      </c>
      <c r="N122" s="153" t="s">
        <v>69</v>
      </c>
      <c r="O122" s="178"/>
      <c r="P122" s="153" t="s">
        <v>72</v>
      </c>
      <c r="Q122" s="183" t="s">
        <v>80</v>
      </c>
      <c r="R122" s="187" t="s">
        <v>81</v>
      </c>
      <c r="S122" s="183" t="s">
        <v>77</v>
      </c>
      <c r="T122" s="673" t="s">
        <v>107</v>
      </c>
      <c r="U122" s="153" t="s">
        <v>53</v>
      </c>
      <c r="V122" s="153" t="s">
        <v>82</v>
      </c>
      <c r="W122" s="153" t="s">
        <v>32</v>
      </c>
      <c r="X122" s="153" t="s">
        <v>69</v>
      </c>
      <c r="Y122" s="178"/>
      <c r="Z122" s="178"/>
      <c r="AA122" s="178"/>
      <c r="AB122" s="153" t="s">
        <v>72</v>
      </c>
      <c r="AC122" s="153" t="s">
        <v>80</v>
      </c>
      <c r="AD122" s="187" t="s">
        <v>81</v>
      </c>
      <c r="AE122" s="183" t="s">
        <v>77</v>
      </c>
      <c r="AF122" s="220" t="s">
        <v>107</v>
      </c>
      <c r="AG122" s="153" t="s">
        <v>78</v>
      </c>
      <c r="AH122" s="153" t="s">
        <v>82</v>
      </c>
      <c r="AI122" s="153" t="s">
        <v>33</v>
      </c>
      <c r="AJ122" s="153"/>
      <c r="AK122" s="178"/>
      <c r="AL122" s="178"/>
      <c r="AM122" s="153"/>
      <c r="AN122" s="178"/>
      <c r="AO122" s="227"/>
      <c r="AP122" s="12"/>
      <c r="AQ122" s="227"/>
      <c r="AR122" s="275"/>
      <c r="AS122" s="12" t="s">
        <v>418</v>
      </c>
    </row>
    <row r="123" spans="1:45" ht="14.25" customHeight="1" x14ac:dyDescent="0.25">
      <c r="A123" s="296"/>
      <c r="B123" s="12"/>
      <c r="C123" s="115"/>
      <c r="D123" s="188"/>
      <c r="E123" s="221">
        <f>AP121</f>
        <v>1</v>
      </c>
      <c r="F123" s="190">
        <f>IF($D$4=2022,1,0)</f>
        <v>1</v>
      </c>
      <c r="G123" s="178">
        <f>IF($B126="Yes",$C$5,$I127)</f>
        <v>12</v>
      </c>
      <c r="H123" s="191">
        <f>VLOOKUP(H126,'Lookup Tables'!$A$22:$B$33,2,FALSE)</f>
        <v>3</v>
      </c>
      <c r="I123" s="192">
        <f>VLOOKUP($E$4,'Lookup Tables'!$AB$46:$AN$58,MATCH($H123,'Lookup Tables'!$AB$46:$AN$46),FALSE)</f>
        <v>12</v>
      </c>
      <c r="J123" s="190">
        <f>12-I123</f>
        <v>0</v>
      </c>
      <c r="K123" s="190">
        <f>IF(G123&lt;J123,G123,J123)</f>
        <v>0</v>
      </c>
      <c r="L123" s="195">
        <f>IF(12-I123&gt;=1,1,0)</f>
        <v>0</v>
      </c>
      <c r="M123" s="202">
        <f>((('Rate Tables'!$B44*$E123)*PersonCalcYr1!$K123)*L123)*$F123</f>
        <v>0</v>
      </c>
      <c r="N123" s="197">
        <f>G123-(J123*L123)</f>
        <v>12</v>
      </c>
      <c r="O123" s="178"/>
      <c r="P123" s="197">
        <f>IF(N123&lt;0,N123*0,1)*N123</f>
        <v>12</v>
      </c>
      <c r="Q123" s="198">
        <f>VLOOKUP($H126,'Lookup Tables'!$A$22:$B$33,2,FALSE)+(K123*L123)</f>
        <v>3</v>
      </c>
      <c r="R123" s="199" t="str">
        <f>VLOOKUP(Q123,'Lookup Tables'!$A$38:$B$151,2,FALSE)</f>
        <v>Sept</v>
      </c>
      <c r="S123" s="191">
        <f>VLOOKUP(R123,'Lookup Tables'!$A$22:$B$33,2,FALSE)</f>
        <v>3</v>
      </c>
      <c r="T123" s="672">
        <f>VLOOKUP($E$4,'Lookup Tables'!$AQ$46:$BC$58,MATCH(PersonCalcYr1!$S123,'Lookup Tables'!$AQ$46:$BC$46),FALSE)</f>
        <v>10</v>
      </c>
      <c r="U123" s="190">
        <f>IF(P123&lt;T123,P123,T123)</f>
        <v>10</v>
      </c>
      <c r="V123" s="195">
        <f>IF((U123)&lt;=0,0,1)</f>
        <v>1</v>
      </c>
      <c r="W123" s="202">
        <f>(('Rate Tables'!$C44*$E123)*PersonCalcYr1!$U123)*$V123*$F123</f>
        <v>0</v>
      </c>
      <c r="X123" s="197">
        <f>P123-(U123*V123)</f>
        <v>2</v>
      </c>
      <c r="Y123" s="178"/>
      <c r="Z123" s="178"/>
      <c r="AA123" s="178"/>
      <c r="AB123" s="197">
        <f>IF(X123&lt;0,X123*0,1)*X123</f>
        <v>2</v>
      </c>
      <c r="AC123" s="203">
        <f>S123+(U123*V123)</f>
        <v>13</v>
      </c>
      <c r="AD123" s="199" t="str">
        <f>VLOOKUP(AC123,'Lookup Tables'!$A$38:$B$151,2,FALSE)</f>
        <v>July</v>
      </c>
      <c r="AE123" s="191">
        <f>VLOOKUP(AD123,'Lookup Tables'!$A$22:$B$33,2,FALSE)</f>
        <v>1</v>
      </c>
      <c r="AF123" s="222">
        <f>VLOOKUP($AE123,'Lookup Tables'!$AC$3:$AW$16,MATCH(PersonCalcYr1!$AB123,'Lookup Tables'!$AC$3:$AW$3),FALSE)</f>
        <v>2</v>
      </c>
      <c r="AG123" s="190">
        <f>IF(AB123&lt;AF123,AB123,AF123)</f>
        <v>2</v>
      </c>
      <c r="AH123" s="195">
        <f>IF((AG123)&lt;=0,0,1)</f>
        <v>1</v>
      </c>
      <c r="AI123" s="202">
        <f>(('Rate Tables'!$D44*$E123)*PersonCalcYr1!AG123)*AH123*$F123</f>
        <v>0</v>
      </c>
      <c r="AJ123" s="197"/>
      <c r="AK123" s="178"/>
      <c r="AL123" s="178"/>
      <c r="AM123" s="202"/>
      <c r="AN123" s="178"/>
      <c r="AO123" s="227"/>
      <c r="AP123" s="12"/>
      <c r="AQ123" s="227" t="s">
        <v>451</v>
      </c>
      <c r="AR123" s="275">
        <f>(VLOOKUP($B121,'Rate Tables'!$O$2:$P$8,2,FALSE))</f>
        <v>0.3226</v>
      </c>
      <c r="AS123" s="372">
        <f>VLOOKUP('F&amp;ARatesCalc'!$B$1,'F&amp;ARatesCalc'!$A$3:$B$5,2,FALSE)</f>
        <v>0.56999999999999995</v>
      </c>
    </row>
    <row r="124" spans="1:45" ht="14.25" customHeight="1" x14ac:dyDescent="0.25">
      <c r="A124" s="296"/>
      <c r="B124" s="12"/>
      <c r="C124" s="117" t="s">
        <v>597</v>
      </c>
      <c r="D124" s="182"/>
      <c r="E124" s="153">
        <v>0</v>
      </c>
      <c r="F124" s="153" t="s">
        <v>42</v>
      </c>
      <c r="G124" s="153" t="s">
        <v>41</v>
      </c>
      <c r="H124" s="183" t="s">
        <v>77</v>
      </c>
      <c r="I124" s="219" t="s">
        <v>51</v>
      </c>
      <c r="J124" s="153" t="s">
        <v>110</v>
      </c>
      <c r="K124" s="153" t="s">
        <v>53</v>
      </c>
      <c r="L124" s="153" t="s">
        <v>82</v>
      </c>
      <c r="M124" s="153" t="s">
        <v>32</v>
      </c>
      <c r="N124" s="153" t="s">
        <v>69</v>
      </c>
      <c r="O124" s="178"/>
      <c r="P124" s="153" t="s">
        <v>72</v>
      </c>
      <c r="Q124" s="183" t="s">
        <v>80</v>
      </c>
      <c r="R124" s="187" t="s">
        <v>81</v>
      </c>
      <c r="S124" s="183" t="s">
        <v>77</v>
      </c>
      <c r="T124" s="673" t="s">
        <v>107</v>
      </c>
      <c r="U124" s="153" t="s">
        <v>78</v>
      </c>
      <c r="V124" s="153" t="s">
        <v>82</v>
      </c>
      <c r="W124" s="153" t="s">
        <v>33</v>
      </c>
      <c r="X124" s="153" t="s">
        <v>69</v>
      </c>
      <c r="Y124" s="178"/>
      <c r="Z124" s="178"/>
      <c r="AA124" s="178"/>
      <c r="AB124" s="153" t="s">
        <v>72</v>
      </c>
      <c r="AC124" s="153" t="s">
        <v>80</v>
      </c>
      <c r="AD124" s="187" t="s">
        <v>81</v>
      </c>
      <c r="AE124" s="183" t="s">
        <v>77</v>
      </c>
      <c r="AF124" s="220" t="s">
        <v>107</v>
      </c>
      <c r="AG124" s="153" t="s">
        <v>79</v>
      </c>
      <c r="AH124" s="153" t="s">
        <v>82</v>
      </c>
      <c r="AI124" s="153" t="s">
        <v>34</v>
      </c>
      <c r="AJ124" s="153"/>
      <c r="AK124" s="178"/>
      <c r="AL124" s="178"/>
      <c r="AM124" s="153"/>
      <c r="AN124" s="178"/>
      <c r="AO124" s="307" t="s">
        <v>450</v>
      </c>
      <c r="AP124" s="349">
        <f>IF(B121=0,0,1)</f>
        <v>1</v>
      </c>
      <c r="AQ124" s="227" t="s">
        <v>452</v>
      </c>
      <c r="AR124" s="275">
        <f>_xlfn.IFNA(AR123,0)</f>
        <v>0.3226</v>
      </c>
      <c r="AS124" s="12" t="s">
        <v>417</v>
      </c>
    </row>
    <row r="125" spans="1:45" ht="14.25" customHeight="1" thickBot="1" x14ac:dyDescent="0.3">
      <c r="A125" s="296"/>
      <c r="B125" s="12"/>
      <c r="C125" s="115"/>
      <c r="D125" s="188"/>
      <c r="E125" s="221">
        <f>AP121</f>
        <v>1</v>
      </c>
      <c r="F125" s="190">
        <f>IF($D$4=2023,1,0)</f>
        <v>0</v>
      </c>
      <c r="G125" s="178">
        <f>IF($B126="Yes",$C$5,$I127)</f>
        <v>12</v>
      </c>
      <c r="H125" s="191">
        <f>VLOOKUP(H126,'Lookup Tables'!$A$22:$B$33,2,FALSE)</f>
        <v>3</v>
      </c>
      <c r="I125" s="192">
        <f>VLOOKUP($E$4,'Lookup Tables'!$AB$46:$AN$58,MATCH($H125,'Lookup Tables'!$AB$46:$AN$46),FALSE)</f>
        <v>12</v>
      </c>
      <c r="J125" s="190">
        <f>12-I125</f>
        <v>0</v>
      </c>
      <c r="K125" s="190">
        <f>IF(G125&lt;J125,G125,J125)</f>
        <v>0</v>
      </c>
      <c r="L125" s="195">
        <f>IF(12-I125&gt;=1,1,0)</f>
        <v>0</v>
      </c>
      <c r="M125" s="202">
        <f>((('Rate Tables'!$C44*$E125)*PersonCalcYr1!$K125)*L125)*$F125</f>
        <v>0</v>
      </c>
      <c r="N125" s="197">
        <f>G125-(J125*L125)</f>
        <v>12</v>
      </c>
      <c r="O125" s="178"/>
      <c r="P125" s="197">
        <f>IF(N125&lt;0,N125*0,1)*N125</f>
        <v>12</v>
      </c>
      <c r="Q125" s="198">
        <f>VLOOKUP($H126,'Lookup Tables'!$A$22:$B$33,2,FALSE)+(K125*L125)</f>
        <v>3</v>
      </c>
      <c r="R125" s="199" t="str">
        <f>VLOOKUP(Q125,'Lookup Tables'!$A$38:$B$151,2,FALSE)</f>
        <v>Sept</v>
      </c>
      <c r="S125" s="191">
        <f>VLOOKUP(R125,'Lookup Tables'!$A$22:$B$33,2,FALSE)</f>
        <v>3</v>
      </c>
      <c r="T125" s="672">
        <f>VLOOKUP($E$4,'Lookup Tables'!$AQ$46:$BC$58,MATCH(PersonCalcYr1!$S125,'Lookup Tables'!$AQ$46:$BC$46),FALSE)</f>
        <v>10</v>
      </c>
      <c r="U125" s="190">
        <f>IF(P125&lt;T125,P125,T125)</f>
        <v>10</v>
      </c>
      <c r="V125" s="195">
        <f>IF((U125)&lt;=0,0,1)</f>
        <v>1</v>
      </c>
      <c r="W125" s="202">
        <f>(('Rate Tables'!$D44*$E125)*PersonCalcYr1!$U125)*$V125*$F125</f>
        <v>0</v>
      </c>
      <c r="X125" s="197">
        <f>P125-(U125*V125)</f>
        <v>2</v>
      </c>
      <c r="Y125" s="178"/>
      <c r="Z125" s="178"/>
      <c r="AA125" s="178"/>
      <c r="AB125" s="197">
        <f>IF(X125&lt;0,X125*0,1)*X125</f>
        <v>2</v>
      </c>
      <c r="AC125" s="203">
        <f>S125+(U125*V125)</f>
        <v>13</v>
      </c>
      <c r="AD125" s="199" t="str">
        <f>VLOOKUP(AC125,'Lookup Tables'!$A$38:$B$151,2,FALSE)</f>
        <v>July</v>
      </c>
      <c r="AE125" s="191">
        <f>VLOOKUP(AD125,'Lookup Tables'!$A$22:$B$33,2,FALSE)</f>
        <v>1</v>
      </c>
      <c r="AF125" s="222">
        <f>VLOOKUP($AE125,'Lookup Tables'!$AC$3:$AW$16,MATCH(PersonCalcYr1!$AB125,'Lookup Tables'!$AC$3:$AW$3),FALSE)</f>
        <v>2</v>
      </c>
      <c r="AG125" s="190">
        <f>IF(AB125&lt;AF125,AB125,AF125)</f>
        <v>2</v>
      </c>
      <c r="AH125" s="195">
        <f>IF((AG125)&lt;=0,0,1)</f>
        <v>1</v>
      </c>
      <c r="AI125" s="202">
        <f>(('Rate Tables'!$E44*$E125)*PersonCalcYr1!AG125)*AH125*$F125</f>
        <v>0</v>
      </c>
      <c r="AJ125" s="197"/>
      <c r="AK125" s="178"/>
      <c r="AL125" s="178"/>
      <c r="AM125" s="202"/>
      <c r="AN125" s="178"/>
      <c r="AO125" s="311"/>
      <c r="AP125" s="12"/>
      <c r="AQ125" s="227" t="s">
        <v>453</v>
      </c>
      <c r="AR125" s="275">
        <f>IF(AR124=0,0,AR123)</f>
        <v>0.3226</v>
      </c>
      <c r="AS125" s="12">
        <f>(AR121+AR126)*AS123</f>
        <v>0</v>
      </c>
    </row>
    <row r="126" spans="1:45" ht="14.25" customHeight="1" thickBot="1" x14ac:dyDescent="0.3">
      <c r="A126" s="377" t="s">
        <v>431</v>
      </c>
      <c r="B126" s="375" t="str">
        <f>Personnel!E54</f>
        <v>YES</v>
      </c>
      <c r="C126" s="12"/>
      <c r="D126" s="178"/>
      <c r="E126" s="178"/>
      <c r="F126" s="178"/>
      <c r="G126" s="178" t="s">
        <v>430</v>
      </c>
      <c r="H126" s="178" t="str">
        <f>IF(B126="yes",$C$4,A128)</f>
        <v>Sept</v>
      </c>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227"/>
      <c r="AP126" s="12"/>
      <c r="AQ126" s="278" t="s">
        <v>415</v>
      </c>
      <c r="AR126" s="279">
        <f>AR121*AR125</f>
        <v>0</v>
      </c>
      <c r="AS126" s="398">
        <f>AR121+AR126+AS125</f>
        <v>0</v>
      </c>
    </row>
    <row r="127" spans="1:45" ht="14.25" customHeight="1" x14ac:dyDescent="0.25">
      <c r="A127" s="296" t="s">
        <v>439</v>
      </c>
      <c r="B127" s="114" t="s">
        <v>427</v>
      </c>
      <c r="C127" s="12"/>
      <c r="D127" s="178"/>
      <c r="E127" s="178"/>
      <c r="F127" s="178"/>
      <c r="G127" s="491" t="s">
        <v>555</v>
      </c>
      <c r="H127" s="175">
        <f>IF(H128&lt;$C$5, H128,$C$5)</f>
        <v>12</v>
      </c>
      <c r="I127" s="178">
        <f>IF(B128&lt;=H128,B128,H128)</f>
        <v>0</v>
      </c>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227"/>
      <c r="AP127" s="12"/>
      <c r="AQ127" s="278"/>
      <c r="AR127" s="284"/>
      <c r="AS127" s="399"/>
    </row>
    <row r="128" spans="1:45" ht="14.25" customHeight="1" x14ac:dyDescent="0.25">
      <c r="A128" s="397">
        <f>Personnel!E55</f>
        <v>0</v>
      </c>
      <c r="B128" s="273">
        <f>Personnel!E56</f>
        <v>0</v>
      </c>
      <c r="C128" s="12"/>
      <c r="D128" s="178"/>
      <c r="E128" s="178"/>
      <c r="F128" s="178"/>
      <c r="G128" s="178"/>
      <c r="H128" s="175">
        <f>VLOOKUP($E$4,'Lookup Tables'!$L$46:$AA$58,MATCH($H$123,'Lookup Tables'!$L$46:$X$46),FALSE)</f>
        <v>12</v>
      </c>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227"/>
      <c r="AP128" s="12"/>
      <c r="AQ128" s="278"/>
      <c r="AR128" s="284"/>
      <c r="AS128" s="369"/>
    </row>
    <row r="129" spans="1:47" ht="6.75" customHeight="1" thickBot="1" x14ac:dyDescent="0.3">
      <c r="A129" s="296"/>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227"/>
      <c r="AP129" s="12"/>
      <c r="AQ129" s="12"/>
      <c r="AR129" s="275"/>
      <c r="AS129" s="149"/>
    </row>
    <row r="130" spans="1:47" ht="14.25" customHeight="1" x14ac:dyDescent="0.25">
      <c r="A130" s="298" t="s">
        <v>174</v>
      </c>
      <c r="B130" s="294" t="s">
        <v>190</v>
      </c>
      <c r="C130" s="180" t="s">
        <v>606</v>
      </c>
      <c r="D130" s="179"/>
      <c r="E130" s="218"/>
      <c r="F130" s="218"/>
      <c r="G130" s="181"/>
      <c r="H130" s="181"/>
      <c r="I130" s="181"/>
      <c r="J130" s="181"/>
      <c r="K130" s="181"/>
      <c r="L130" s="181"/>
      <c r="M130" s="181"/>
      <c r="N130" s="181"/>
      <c r="O130" s="181"/>
      <c r="P130" s="181"/>
      <c r="Q130" s="181"/>
      <c r="R130" s="181"/>
      <c r="S130" s="181"/>
      <c r="T130" s="181"/>
      <c r="U130" s="181"/>
      <c r="V130" s="181"/>
      <c r="W130" s="181"/>
      <c r="X130" s="181"/>
      <c r="Y130" s="181"/>
      <c r="Z130" s="493">
        <v>44378</v>
      </c>
      <c r="AA130" s="493">
        <v>44742</v>
      </c>
      <c r="AB130" s="181"/>
      <c r="AC130" s="181"/>
      <c r="AD130" s="181"/>
      <c r="AE130" s="181"/>
      <c r="AF130" s="181"/>
      <c r="AG130" s="181"/>
      <c r="AH130" s="181"/>
      <c r="AI130" s="181"/>
      <c r="AJ130" s="181"/>
      <c r="AK130" s="181"/>
      <c r="AL130" s="181"/>
      <c r="AM130" s="181"/>
      <c r="AN130" s="181"/>
      <c r="AO130" s="282"/>
      <c r="AP130" s="144"/>
      <c r="AQ130" s="144"/>
      <c r="AR130" s="283"/>
      <c r="AS130" s="12"/>
    </row>
    <row r="131" spans="1:47" ht="14.25" customHeight="1" x14ac:dyDescent="0.25">
      <c r="A131" s="354">
        <f>Personnel!C60</f>
        <v>0</v>
      </c>
      <c r="B131" s="346" t="str">
        <f>Personnel!C59</f>
        <v>Post Doc</v>
      </c>
      <c r="C131" s="347">
        <f>Personnel!C61</f>
        <v>0</v>
      </c>
      <c r="D131" s="188"/>
      <c r="E131" s="205"/>
      <c r="F131" s="205"/>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306" t="s">
        <v>413</v>
      </c>
      <c r="AP131" s="400">
        <f>Personnel!G59</f>
        <v>1</v>
      </c>
      <c r="AQ131" s="278" t="s">
        <v>96</v>
      </c>
      <c r="AR131" s="279">
        <f>(M133+W133+AI133+M135+W135+AI135)*AP134</f>
        <v>0</v>
      </c>
      <c r="AS131" s="369"/>
    </row>
    <row r="132" spans="1:47" ht="14.25" customHeight="1" x14ac:dyDescent="0.25">
      <c r="A132" s="296"/>
      <c r="B132" s="12"/>
      <c r="C132" s="117" t="s">
        <v>30</v>
      </c>
      <c r="D132" s="182"/>
      <c r="E132" s="153">
        <v>0</v>
      </c>
      <c r="F132" s="153" t="s">
        <v>42</v>
      </c>
      <c r="G132" s="153" t="s">
        <v>41</v>
      </c>
      <c r="H132" s="183" t="s">
        <v>77</v>
      </c>
      <c r="I132" s="219" t="s">
        <v>50</v>
      </c>
      <c r="J132" s="153" t="s">
        <v>52</v>
      </c>
      <c r="K132" s="153" t="s">
        <v>35</v>
      </c>
      <c r="L132" s="153" t="s">
        <v>82</v>
      </c>
      <c r="M132" s="153" t="s">
        <v>31</v>
      </c>
      <c r="N132" s="153" t="s">
        <v>69</v>
      </c>
      <c r="O132" s="178"/>
      <c r="P132" s="153" t="s">
        <v>72</v>
      </c>
      <c r="Q132" s="183" t="s">
        <v>80</v>
      </c>
      <c r="R132" s="187" t="s">
        <v>81</v>
      </c>
      <c r="S132" s="183" t="s">
        <v>77</v>
      </c>
      <c r="T132" s="673" t="s">
        <v>107</v>
      </c>
      <c r="U132" s="153" t="s">
        <v>53</v>
      </c>
      <c r="V132" s="153" t="s">
        <v>82</v>
      </c>
      <c r="W132" s="153" t="s">
        <v>32</v>
      </c>
      <c r="X132" s="153" t="s">
        <v>69</v>
      </c>
      <c r="Y132" s="178"/>
      <c r="Z132" s="178"/>
      <c r="AA132" s="178"/>
      <c r="AB132" s="153" t="s">
        <v>72</v>
      </c>
      <c r="AC132" s="153" t="s">
        <v>80</v>
      </c>
      <c r="AD132" s="187" t="s">
        <v>81</v>
      </c>
      <c r="AE132" s="183" t="s">
        <v>77</v>
      </c>
      <c r="AF132" s="220" t="s">
        <v>107</v>
      </c>
      <c r="AG132" s="153" t="s">
        <v>78</v>
      </c>
      <c r="AH132" s="153" t="s">
        <v>82</v>
      </c>
      <c r="AI132" s="153" t="s">
        <v>33</v>
      </c>
      <c r="AJ132" s="153"/>
      <c r="AK132" s="178"/>
      <c r="AL132" s="178"/>
      <c r="AM132" s="153"/>
      <c r="AN132" s="178"/>
      <c r="AO132" s="227"/>
      <c r="AP132" s="12"/>
      <c r="AQ132" s="227"/>
      <c r="AR132" s="275"/>
      <c r="AS132" s="12" t="s">
        <v>418</v>
      </c>
    </row>
    <row r="133" spans="1:47" ht="14.25" customHeight="1" x14ac:dyDescent="0.25">
      <c r="A133" s="296"/>
      <c r="B133" s="12"/>
      <c r="C133" s="115"/>
      <c r="D133" s="188"/>
      <c r="E133" s="221">
        <f>AP131</f>
        <v>1</v>
      </c>
      <c r="F133" s="190">
        <f>IF($D$4=2022,1,0)</f>
        <v>1</v>
      </c>
      <c r="G133" s="178">
        <f>IF($B136="Yes",$C$5,$I137)</f>
        <v>12</v>
      </c>
      <c r="H133" s="191">
        <f>VLOOKUP(H136,'Lookup Tables'!$A$22:$B$33,2,FALSE)</f>
        <v>3</v>
      </c>
      <c r="I133" s="192">
        <f>VLOOKUP($E$4,'Lookup Tables'!$AB$46:$AN$58,MATCH($H133,'Lookup Tables'!$AB$46:$AN$46),FALSE)</f>
        <v>12</v>
      </c>
      <c r="J133" s="190">
        <f>12-I133</f>
        <v>0</v>
      </c>
      <c r="K133" s="190">
        <f>IF(G133&lt;J133,G133,J133)</f>
        <v>0</v>
      </c>
      <c r="L133" s="195">
        <f>IF(12-I133&gt;=1,1,0)</f>
        <v>0</v>
      </c>
      <c r="M133" s="202">
        <f>((('Rate Tables'!$B49*$E133)*PersonCalcYr1!$K133)*L133)*$F133</f>
        <v>0</v>
      </c>
      <c r="N133" s="197">
        <f>G133-(J133*L133)</f>
        <v>12</v>
      </c>
      <c r="O133" s="178"/>
      <c r="P133" s="197">
        <f>IF(N133&lt;0,N133*0,1)*N133</f>
        <v>12</v>
      </c>
      <c r="Q133" s="198">
        <f>VLOOKUP($H136,'Lookup Tables'!$A$22:$B$33,2,FALSE)+(K133*L133)</f>
        <v>3</v>
      </c>
      <c r="R133" s="199" t="str">
        <f>VLOOKUP(Q133,'Lookup Tables'!$A$38:$B$151,2,FALSE)</f>
        <v>Sept</v>
      </c>
      <c r="S133" s="191">
        <f>VLOOKUP(R133,'Lookup Tables'!$A$22:$B$33,2,FALSE)</f>
        <v>3</v>
      </c>
      <c r="T133" s="672">
        <f>VLOOKUP($E$4,'Lookup Tables'!$AQ$46:$BC$58,MATCH(PersonCalcYr1!$S133,'Lookup Tables'!$AQ$46:$BC$46),FALSE)</f>
        <v>10</v>
      </c>
      <c r="U133" s="190">
        <f>IF(P133&lt;T133,P133,T133)</f>
        <v>10</v>
      </c>
      <c r="V133" s="195">
        <f>IF((U133)&lt;=0,0,1)</f>
        <v>1</v>
      </c>
      <c r="W133" s="202">
        <f>(('Rate Tables'!$C49*$E133)*PersonCalcYr1!$U133)*$V133*$F133</f>
        <v>0</v>
      </c>
      <c r="X133" s="197">
        <f>P133-(U133*V133)</f>
        <v>2</v>
      </c>
      <c r="Y133" s="178"/>
      <c r="Z133" s="178"/>
      <c r="AA133" s="178"/>
      <c r="AB133" s="197">
        <f>IF(X133&lt;0,X133*0,1)*X133</f>
        <v>2</v>
      </c>
      <c r="AC133" s="203">
        <f>S133+(U133*V133)</f>
        <v>13</v>
      </c>
      <c r="AD133" s="199" t="str">
        <f>VLOOKUP(AC133,'Lookup Tables'!$A$38:$B$151,2,FALSE)</f>
        <v>July</v>
      </c>
      <c r="AE133" s="191">
        <f>VLOOKUP(AD133,'Lookup Tables'!$A$22:$B$33,2,FALSE)</f>
        <v>1</v>
      </c>
      <c r="AF133" s="222">
        <f>VLOOKUP($AE133,'Lookup Tables'!$AC$3:$AW$16,MATCH(PersonCalcYr1!$AB133,'Lookup Tables'!$AC$3:$AW$3),FALSE)</f>
        <v>2</v>
      </c>
      <c r="AG133" s="190">
        <f>IF(AB133&lt;AF133,AB133,AF133)</f>
        <v>2</v>
      </c>
      <c r="AH133" s="195">
        <f>IF((AG133)&lt;=0,0,1)</f>
        <v>1</v>
      </c>
      <c r="AI133" s="202">
        <f>(('Rate Tables'!$D49*$E133)*PersonCalcYr1!AG133)*AH133*$F133</f>
        <v>0</v>
      </c>
      <c r="AJ133" s="197"/>
      <c r="AK133" s="178"/>
      <c r="AL133" s="178"/>
      <c r="AM133" s="202"/>
      <c r="AN133" s="178"/>
      <c r="AO133" s="227"/>
      <c r="AP133" s="12"/>
      <c r="AQ133" s="227" t="s">
        <v>451</v>
      </c>
      <c r="AR133" s="275">
        <f>(VLOOKUP($B131,'Rate Tables'!$O$2:$P$8,2,FALSE))</f>
        <v>0.28510000000000002</v>
      </c>
      <c r="AS133" s="372">
        <f>VLOOKUP('F&amp;ARatesCalc'!$B$1,'F&amp;ARatesCalc'!$A$3:$B$5,2,FALSE)</f>
        <v>0.56999999999999995</v>
      </c>
    </row>
    <row r="134" spans="1:47" ht="14.25" customHeight="1" x14ac:dyDescent="0.25">
      <c r="A134" s="296"/>
      <c r="B134" s="12"/>
      <c r="C134" s="117" t="s">
        <v>597</v>
      </c>
      <c r="D134" s="182"/>
      <c r="E134" s="153">
        <v>0</v>
      </c>
      <c r="F134" s="153" t="s">
        <v>42</v>
      </c>
      <c r="G134" s="153" t="s">
        <v>41</v>
      </c>
      <c r="H134" s="183" t="s">
        <v>77</v>
      </c>
      <c r="I134" s="219" t="s">
        <v>51</v>
      </c>
      <c r="J134" s="153" t="s">
        <v>110</v>
      </c>
      <c r="K134" s="153" t="s">
        <v>53</v>
      </c>
      <c r="L134" s="153" t="s">
        <v>82</v>
      </c>
      <c r="M134" s="153" t="s">
        <v>32</v>
      </c>
      <c r="N134" s="153" t="s">
        <v>69</v>
      </c>
      <c r="O134" s="178"/>
      <c r="P134" s="153" t="s">
        <v>72</v>
      </c>
      <c r="Q134" s="183" t="s">
        <v>80</v>
      </c>
      <c r="R134" s="187" t="s">
        <v>81</v>
      </c>
      <c r="S134" s="183" t="s">
        <v>77</v>
      </c>
      <c r="T134" s="673" t="s">
        <v>107</v>
      </c>
      <c r="U134" s="153" t="s">
        <v>78</v>
      </c>
      <c r="V134" s="153" t="s">
        <v>82</v>
      </c>
      <c r="W134" s="153" t="s">
        <v>33</v>
      </c>
      <c r="X134" s="153" t="s">
        <v>69</v>
      </c>
      <c r="Y134" s="178"/>
      <c r="Z134" s="178"/>
      <c r="AA134" s="178"/>
      <c r="AB134" s="153" t="s">
        <v>72</v>
      </c>
      <c r="AC134" s="153" t="s">
        <v>80</v>
      </c>
      <c r="AD134" s="187" t="s">
        <v>81</v>
      </c>
      <c r="AE134" s="183" t="s">
        <v>77</v>
      </c>
      <c r="AF134" s="220" t="s">
        <v>107</v>
      </c>
      <c r="AG134" s="153" t="s">
        <v>79</v>
      </c>
      <c r="AH134" s="153" t="s">
        <v>82</v>
      </c>
      <c r="AI134" s="153" t="s">
        <v>34</v>
      </c>
      <c r="AJ134" s="153"/>
      <c r="AK134" s="178"/>
      <c r="AL134" s="178"/>
      <c r="AM134" s="153"/>
      <c r="AN134" s="178"/>
      <c r="AO134" s="307" t="s">
        <v>450</v>
      </c>
      <c r="AP134" s="349">
        <f>IF(B131=0,0,1)</f>
        <v>1</v>
      </c>
      <c r="AQ134" s="227" t="s">
        <v>452</v>
      </c>
      <c r="AR134" s="275">
        <f>_xlfn.IFNA(AR133,0)</f>
        <v>0.28510000000000002</v>
      </c>
      <c r="AS134" s="12" t="s">
        <v>417</v>
      </c>
    </row>
    <row r="135" spans="1:47" ht="14.25" customHeight="1" thickBot="1" x14ac:dyDescent="0.3">
      <c r="A135" s="296"/>
      <c r="B135" s="12"/>
      <c r="C135" s="115"/>
      <c r="D135" s="188"/>
      <c r="E135" s="221">
        <f>AP131</f>
        <v>1</v>
      </c>
      <c r="F135" s="190">
        <f>IF($D$4=2023,1,0)</f>
        <v>0</v>
      </c>
      <c r="G135" s="178">
        <f>IF($B136="Yes",$C$5,$I137)</f>
        <v>12</v>
      </c>
      <c r="H135" s="191">
        <f>VLOOKUP(H136,'Lookup Tables'!$A$22:$B$33,2,FALSE)</f>
        <v>3</v>
      </c>
      <c r="I135" s="192">
        <f>VLOOKUP($E$4,'Lookup Tables'!$AB$46:$AN$58,MATCH($H135,'Lookup Tables'!$AB$46:$AN$46),FALSE)</f>
        <v>12</v>
      </c>
      <c r="J135" s="190">
        <f>12-I135</f>
        <v>0</v>
      </c>
      <c r="K135" s="190">
        <f>IF(G135&lt;J135,G135,J135)</f>
        <v>0</v>
      </c>
      <c r="L135" s="195">
        <f>IF(12-I135&gt;=1,1,0)</f>
        <v>0</v>
      </c>
      <c r="M135" s="202">
        <f>((('Rate Tables'!$C49*$E135)*PersonCalcYr1!$K135)*L135)*$F135</f>
        <v>0</v>
      </c>
      <c r="N135" s="197">
        <f>G135-(J135*L135)</f>
        <v>12</v>
      </c>
      <c r="O135" s="178"/>
      <c r="P135" s="197">
        <f>IF(N135&lt;0,N135*0,1)*N135</f>
        <v>12</v>
      </c>
      <c r="Q135" s="198">
        <f>VLOOKUP($H136,'Lookup Tables'!$A$22:$B$33,2,FALSE)+(K135*L135)</f>
        <v>3</v>
      </c>
      <c r="R135" s="199" t="str">
        <f>VLOOKUP(Q135,'Lookup Tables'!$A$38:$B$151,2,FALSE)</f>
        <v>Sept</v>
      </c>
      <c r="S135" s="191">
        <f>VLOOKUP(R135,'Lookup Tables'!$A$22:$B$33,2,FALSE)</f>
        <v>3</v>
      </c>
      <c r="T135" s="672">
        <f>VLOOKUP($E$4,'Lookup Tables'!$AQ$46:$BC$58,MATCH(PersonCalcYr1!$S135,'Lookup Tables'!$AQ$46:$BC$46),FALSE)</f>
        <v>10</v>
      </c>
      <c r="U135" s="190">
        <f>IF(P135&lt;T135,P135,T135)</f>
        <v>10</v>
      </c>
      <c r="V135" s="195">
        <f>IF((U135)&lt;=0,0,1)</f>
        <v>1</v>
      </c>
      <c r="W135" s="202">
        <f>(('Rate Tables'!$D49*$E135)*PersonCalcYr1!$U135)*$V135*$F135</f>
        <v>0</v>
      </c>
      <c r="X135" s="197">
        <f>P135-(U135*V135)</f>
        <v>2</v>
      </c>
      <c r="Y135" s="178"/>
      <c r="Z135" s="178"/>
      <c r="AA135" s="178"/>
      <c r="AB135" s="197">
        <f>IF(X135&lt;0,X135*0,1)*X135</f>
        <v>2</v>
      </c>
      <c r="AC135" s="203">
        <f>S135+(U135*V135)</f>
        <v>13</v>
      </c>
      <c r="AD135" s="199" t="str">
        <f>VLOOKUP(AC135,'Lookup Tables'!$A$38:$B$151,2,FALSE)</f>
        <v>July</v>
      </c>
      <c r="AE135" s="191">
        <f>VLOOKUP(AD135,'Lookup Tables'!$A$22:$B$33,2,FALSE)</f>
        <v>1</v>
      </c>
      <c r="AF135" s="222">
        <f>VLOOKUP($AE135,'Lookup Tables'!$AC$3:$AW$16,MATCH(PersonCalcYr1!$AB135,'Lookup Tables'!$AC$3:$AW$3),FALSE)</f>
        <v>2</v>
      </c>
      <c r="AG135" s="190">
        <f>IF(AB135&lt;AF135,AB135,AF135)</f>
        <v>2</v>
      </c>
      <c r="AH135" s="195">
        <f>IF((AG135)&lt;=0,0,1)</f>
        <v>1</v>
      </c>
      <c r="AI135" s="202">
        <f>(('Rate Tables'!$E49*$E135)*PersonCalcYr1!AG135)*AH135*$F135</f>
        <v>0</v>
      </c>
      <c r="AJ135" s="197"/>
      <c r="AK135" s="178"/>
      <c r="AL135" s="178"/>
      <c r="AM135" s="202"/>
      <c r="AN135" s="178"/>
      <c r="AO135" s="311"/>
      <c r="AP135" s="12"/>
      <c r="AQ135" s="227" t="s">
        <v>453</v>
      </c>
      <c r="AR135" s="275">
        <f>IF(AR134=0,0,AR133)</f>
        <v>0.28510000000000002</v>
      </c>
      <c r="AS135" s="12">
        <f>(AR131+AR136)*AS133</f>
        <v>0</v>
      </c>
    </row>
    <row r="136" spans="1:47" ht="14.25" customHeight="1" thickBot="1" x14ac:dyDescent="0.3">
      <c r="A136" s="377" t="s">
        <v>431</v>
      </c>
      <c r="B136" s="375" t="str">
        <f>Personnel!E59</f>
        <v>YES</v>
      </c>
      <c r="C136" s="12"/>
      <c r="D136" s="178"/>
      <c r="E136" s="178"/>
      <c r="F136" s="178"/>
      <c r="G136" s="178" t="s">
        <v>430</v>
      </c>
      <c r="H136" s="178" t="str">
        <f>IF(B136="yes",$C$4,A138)</f>
        <v>Sept</v>
      </c>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227"/>
      <c r="AP136" s="12"/>
      <c r="AQ136" s="278" t="s">
        <v>415</v>
      </c>
      <c r="AR136" s="279">
        <f>AR131*AR135</f>
        <v>0</v>
      </c>
      <c r="AS136" s="398">
        <f>AR131+AR136+AS135</f>
        <v>0</v>
      </c>
    </row>
    <row r="137" spans="1:47" ht="14.25" customHeight="1" x14ac:dyDescent="0.25">
      <c r="A137" s="296" t="s">
        <v>439</v>
      </c>
      <c r="B137" s="114" t="s">
        <v>427</v>
      </c>
      <c r="C137" s="12"/>
      <c r="D137" s="178"/>
      <c r="E137" s="178"/>
      <c r="F137" s="178"/>
      <c r="G137" s="491" t="s">
        <v>555</v>
      </c>
      <c r="H137" s="175">
        <f>IF(H138&lt;$C$5, H138,$C$5)</f>
        <v>12</v>
      </c>
      <c r="I137" s="178">
        <f>IF(B138&lt;=H138,B138,H138)</f>
        <v>0</v>
      </c>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227"/>
      <c r="AP137" s="12"/>
      <c r="AQ137" s="278"/>
      <c r="AR137" s="284"/>
      <c r="AS137" s="399"/>
    </row>
    <row r="138" spans="1:47" ht="14.25" customHeight="1" x14ac:dyDescent="0.25">
      <c r="A138" s="380">
        <f>Personnel!E60</f>
        <v>0</v>
      </c>
      <c r="B138" s="273">
        <f>Personnel!E61</f>
        <v>0</v>
      </c>
      <c r="C138" s="12"/>
      <c r="D138" s="178"/>
      <c r="E138" s="178"/>
      <c r="F138" s="178"/>
      <c r="G138" s="178"/>
      <c r="H138" s="175">
        <f>VLOOKUP($E$4,'Lookup Tables'!$L$46:$AA$58,MATCH($H$133,'Lookup Tables'!$L$46:$X$46),FALSE)</f>
        <v>12</v>
      </c>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227"/>
      <c r="AP138" s="12"/>
      <c r="AQ138" s="278"/>
      <c r="AR138" s="284"/>
      <c r="AS138" s="369"/>
    </row>
    <row r="139" spans="1:47" ht="6.75" customHeight="1" thickBot="1" x14ac:dyDescent="0.3">
      <c r="A139" s="297"/>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280"/>
      <c r="AP139" s="149"/>
      <c r="AQ139" s="149"/>
      <c r="AR139" s="281"/>
      <c r="AS139" s="149"/>
    </row>
    <row r="140" spans="1:47" ht="10.5" customHeight="1" x14ac:dyDescent="0.25">
      <c r="A140" s="299"/>
    </row>
    <row r="141" spans="1:47" ht="18.75" x14ac:dyDescent="0.3">
      <c r="A141" s="264" t="s">
        <v>191</v>
      </c>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310"/>
      <c r="AP141" s="262"/>
      <c r="AQ141" s="262"/>
      <c r="AR141" s="262"/>
      <c r="AS141" s="262"/>
    </row>
    <row r="142" spans="1:47" x14ac:dyDescent="0.25">
      <c r="A142" s="263" t="s">
        <v>170</v>
      </c>
      <c r="B142" s="355" t="str">
        <f>Personnel!C66</f>
        <v>12 Month</v>
      </c>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227"/>
      <c r="AP142" s="12"/>
      <c r="AQ142" s="12"/>
      <c r="AR142" s="275"/>
      <c r="AS142" s="12"/>
      <c r="AU142" s="313"/>
    </row>
    <row r="143" spans="1:47" ht="13.5" customHeight="1" x14ac:dyDescent="0.25">
      <c r="A143" s="258" t="s">
        <v>174</v>
      </c>
      <c r="B143" s="155" t="s">
        <v>12</v>
      </c>
      <c r="C143" s="259" t="s">
        <v>605</v>
      </c>
      <c r="D143" s="12"/>
      <c r="E143" s="12"/>
      <c r="F143" s="12"/>
      <c r="G143" s="12" t="s">
        <v>182</v>
      </c>
      <c r="H143" s="12"/>
      <c r="I143" s="12"/>
      <c r="J143" s="12"/>
      <c r="K143" s="12"/>
      <c r="L143" s="12"/>
      <c r="M143" s="12" t="s">
        <v>167</v>
      </c>
      <c r="N143" s="12"/>
      <c r="O143" s="12">
        <v>21</v>
      </c>
      <c r="P143" s="12"/>
      <c r="Q143" s="12"/>
      <c r="R143" s="12"/>
      <c r="S143" s="12"/>
      <c r="T143" s="12"/>
      <c r="U143" s="12"/>
      <c r="V143" s="12"/>
      <c r="W143" s="12"/>
      <c r="X143" s="12"/>
      <c r="Y143" s="12" t="s">
        <v>168</v>
      </c>
      <c r="Z143" s="12"/>
      <c r="AA143" s="12">
        <v>22</v>
      </c>
      <c r="AB143" s="12"/>
      <c r="AC143" s="12"/>
      <c r="AD143" s="12"/>
      <c r="AE143" s="12"/>
      <c r="AF143" s="12"/>
      <c r="AG143" s="12"/>
      <c r="AH143" s="12"/>
      <c r="AI143" s="12"/>
      <c r="AJ143" s="12" t="s">
        <v>169</v>
      </c>
      <c r="AK143" s="12"/>
      <c r="AL143" s="12">
        <v>23</v>
      </c>
      <c r="AM143" s="12"/>
      <c r="AN143" s="12"/>
      <c r="AO143" s="227"/>
      <c r="AP143" s="12"/>
      <c r="AQ143" s="12"/>
      <c r="AR143" s="275"/>
      <c r="AS143" s="12"/>
      <c r="AU143" s="313"/>
    </row>
    <row r="144" spans="1:47" ht="13.5" customHeight="1" x14ac:dyDescent="0.25">
      <c r="A144" s="356">
        <f>Personnel!C67</f>
        <v>0</v>
      </c>
      <c r="B144" s="357">
        <f>Personnel!C68</f>
        <v>0</v>
      </c>
      <c r="C144" s="115">
        <f>(B144*9)*2</f>
        <v>0</v>
      </c>
      <c r="D144" s="12"/>
      <c r="E144" s="12"/>
      <c r="F144" s="12"/>
      <c r="G144" s="12"/>
      <c r="H144" s="12"/>
      <c r="I144" s="12"/>
      <c r="J144" s="12"/>
      <c r="K144" s="12"/>
      <c r="L144" s="12"/>
      <c r="M144" s="12"/>
      <c r="N144" s="12"/>
      <c r="O144" s="12">
        <v>22</v>
      </c>
      <c r="P144" s="12"/>
      <c r="Q144" s="12"/>
      <c r="R144" s="12"/>
      <c r="S144" s="12"/>
      <c r="T144" s="12"/>
      <c r="U144" s="12"/>
      <c r="V144" s="12"/>
      <c r="W144" s="12"/>
      <c r="X144" s="12"/>
      <c r="Y144" s="12"/>
      <c r="Z144" s="12"/>
      <c r="AA144" s="12">
        <v>23</v>
      </c>
      <c r="AB144" s="12"/>
      <c r="AC144" s="12"/>
      <c r="AD144" s="12"/>
      <c r="AE144" s="12"/>
      <c r="AF144" s="12"/>
      <c r="AG144" s="12"/>
      <c r="AH144" s="12"/>
      <c r="AI144" s="12"/>
      <c r="AJ144" s="12"/>
      <c r="AK144" s="12"/>
      <c r="AL144" s="12">
        <v>24</v>
      </c>
      <c r="AM144" s="12"/>
      <c r="AN144" s="12"/>
      <c r="AO144" s="306" t="s">
        <v>412</v>
      </c>
      <c r="AP144" s="348">
        <f>Personnel!G67</f>
        <v>0</v>
      </c>
      <c r="AQ144" s="276" t="s">
        <v>414</v>
      </c>
      <c r="AR144" s="285">
        <f>(N146+Z146+AK146+N148+Z148+AK148)*AM146</f>
        <v>0</v>
      </c>
      <c r="AS144" s="15"/>
      <c r="AU144" s="313"/>
    </row>
    <row r="145" spans="1:47" ht="13.5" customHeight="1" x14ac:dyDescent="0.25">
      <c r="A145" s="145"/>
      <c r="B145" s="12"/>
      <c r="C145" s="117" t="s">
        <v>30</v>
      </c>
      <c r="D145" s="12"/>
      <c r="E145" s="13" t="s">
        <v>16</v>
      </c>
      <c r="F145" s="13" t="s">
        <v>42</v>
      </c>
      <c r="G145" s="13" t="s">
        <v>41</v>
      </c>
      <c r="H145" s="65" t="s">
        <v>77</v>
      </c>
      <c r="I145" s="64" t="s">
        <v>90</v>
      </c>
      <c r="J145" s="63" t="s">
        <v>70</v>
      </c>
      <c r="K145" s="52" t="s">
        <v>93</v>
      </c>
      <c r="L145" s="13" t="s">
        <v>35</v>
      </c>
      <c r="M145" s="13" t="s">
        <v>82</v>
      </c>
      <c r="N145" s="13" t="s">
        <v>31</v>
      </c>
      <c r="O145" s="14" t="s">
        <v>69</v>
      </c>
      <c r="P145" s="13" t="s">
        <v>72</v>
      </c>
      <c r="Q145" s="65" t="s">
        <v>80</v>
      </c>
      <c r="R145" s="62" t="s">
        <v>81</v>
      </c>
      <c r="S145" s="65" t="s">
        <v>77</v>
      </c>
      <c r="T145" s="600" t="s">
        <v>83</v>
      </c>
      <c r="U145" s="63" t="s">
        <v>70</v>
      </c>
      <c r="V145" s="13" t="s">
        <v>91</v>
      </c>
      <c r="W145" s="13" t="s">
        <v>43</v>
      </c>
      <c r="X145" s="13" t="s">
        <v>53</v>
      </c>
      <c r="Y145" s="13" t="s">
        <v>68</v>
      </c>
      <c r="Z145" s="13" t="s">
        <v>32</v>
      </c>
      <c r="AA145" s="14" t="s">
        <v>69</v>
      </c>
      <c r="AB145" s="13" t="s">
        <v>72</v>
      </c>
      <c r="AC145" s="13" t="s">
        <v>80</v>
      </c>
      <c r="AD145" s="62" t="s">
        <v>81</v>
      </c>
      <c r="AE145" s="65" t="s">
        <v>77</v>
      </c>
      <c r="AF145" s="63" t="s">
        <v>70</v>
      </c>
      <c r="AG145" s="13" t="s">
        <v>92</v>
      </c>
      <c r="AH145" s="13" t="s">
        <v>44</v>
      </c>
      <c r="AI145" s="13" t="s">
        <v>78</v>
      </c>
      <c r="AJ145" s="13" t="s">
        <v>68</v>
      </c>
      <c r="AK145" s="13" t="s">
        <v>33</v>
      </c>
      <c r="AL145" s="14" t="s">
        <v>69</v>
      </c>
      <c r="AM145" s="13" t="s">
        <v>159</v>
      </c>
      <c r="AN145" s="12"/>
      <c r="AO145" s="227"/>
      <c r="AP145" s="349"/>
      <c r="AQ145" s="227"/>
      <c r="AR145" s="285"/>
      <c r="AS145" s="15"/>
    </row>
    <row r="146" spans="1:47" ht="13.5" customHeight="1" x14ac:dyDescent="0.25">
      <c r="A146" s="145"/>
      <c r="B146" s="12"/>
      <c r="C146" s="115"/>
      <c r="D146" s="12"/>
      <c r="E146" s="118">
        <f>AP144</f>
        <v>0</v>
      </c>
      <c r="F146" s="19">
        <f>IF($D$4=2022,1,0)</f>
        <v>1</v>
      </c>
      <c r="G146" s="178">
        <f>IF($B170="Yes",$C$5,$I169)</f>
        <v>12</v>
      </c>
      <c r="H146" s="36">
        <f>VLOOKUP(H168,'Lookup Tables'!$A$22:$B$33,2,FALSE)</f>
        <v>3</v>
      </c>
      <c r="I146" s="192">
        <f>VLOOKUP($E$4,'Lookup Tables'!$AB$46:$AN$58,MATCH($H146,'Lookup Tables'!$AB$46:$AN$46),FALSE)</f>
        <v>12</v>
      </c>
      <c r="J146" s="586">
        <f>VLOOKUP(H146,'Lookup Tables'!$A$3:$AA$16,MATCH(PersonCalcYr1!$G146,'Lookup Tables'!$A$3:$AA$3),FALSE)</f>
        <v>1.5161</v>
      </c>
      <c r="K146" s="54">
        <f>VLOOKUP($H168,'Lookup Tables'!$K$23:$L$34,2,FALSE)</f>
        <v>0</v>
      </c>
      <c r="L146" s="129">
        <f>IF(G146&lt;=K146,G146,K146)</f>
        <v>0</v>
      </c>
      <c r="M146" s="195">
        <f>IF(12-I146&gt;=1,1,0)</f>
        <v>0</v>
      </c>
      <c r="N146" s="15">
        <f>(('Rate Tables'!B73*PersonCalcYr1!E146)*PersonCalcYr1!L146)*PersonCalcYr1!F146*M146</f>
        <v>0</v>
      </c>
      <c r="O146" s="28">
        <f>G146-((J146+L146)*M146)</f>
        <v>12</v>
      </c>
      <c r="P146" s="8">
        <f>IF(O146&lt;0,O146*0,1)*O146</f>
        <v>12</v>
      </c>
      <c r="Q146" s="403">
        <f>VLOOKUP($H168,'Lookup Tables'!$A$22:$B$33,2,FALSE)+(L146*M146)+(J146*M146)</f>
        <v>3</v>
      </c>
      <c r="R146" s="121" t="str">
        <f>VLOOKUP(Q146,'Lookup Tables'!$A$38:$B$151,2,FALSE)</f>
        <v>Sept</v>
      </c>
      <c r="S146" s="36">
        <f>VLOOKUP(R146,'Lookup Tables'!$A$22:$B$33,2,FALSE)</f>
        <v>3</v>
      </c>
      <c r="T146" s="599">
        <f>VLOOKUP($E$4,'Lookup Tables'!$AB$63:$AN$75,MATCH(PersonCalcYr1!$S146,'Lookup Tables'!$AB$63:$AN$63),FALSE)</f>
        <v>0.5161</v>
      </c>
      <c r="U146" s="34">
        <f>VLOOKUP(S146,'Lookup Tables'!$A$3:$AA$16,MATCH(PersonCalcYr1!$P146,'Lookup Tables'!$A$3:$AA$3),FALSE)</f>
        <v>1.5161</v>
      </c>
      <c r="V146" s="12">
        <f>9-T146</f>
        <v>8.4839000000000002</v>
      </c>
      <c r="W146" s="587">
        <f>P146-U146</f>
        <v>10.4839</v>
      </c>
      <c r="X146" s="588">
        <f>IF(V146&lt;=W146,V146,W146)</f>
        <v>8.4839000000000002</v>
      </c>
      <c r="Y146" s="195">
        <f>IF(12-T146-U146-X146&gt;=0,1,0)</f>
        <v>1</v>
      </c>
      <c r="Z146" s="20">
        <f>((('Rate Tables'!C73*$E146)*PersonCalcYr1!$X146)*$F146)*Y146</f>
        <v>0</v>
      </c>
      <c r="AA146" s="197">
        <f>O146-(((U146*U150)+X146)*Y146)</f>
        <v>2</v>
      </c>
      <c r="AB146" s="8">
        <f>IF(AA146&lt;0,AA146*0,1)*AA146</f>
        <v>2</v>
      </c>
      <c r="AC146" s="601">
        <f>S146+(X146*Y146)+((U146*U150)*Y146)</f>
        <v>13</v>
      </c>
      <c r="AD146" s="121" t="str">
        <f>VLOOKUP(AC146,'Lookup Tables'!$A$38:$B$151,2,FALSE)</f>
        <v>July</v>
      </c>
      <c r="AE146" s="36">
        <f>VLOOKUP(AD146,'Lookup Tables'!$A$22:$B$33,2,FALSE)</f>
        <v>1</v>
      </c>
      <c r="AF146" s="34">
        <f>VLOOKUP(AE146,'Lookup Tables'!$A$3:$AA$16,MATCH(PersonCalcYr1!AB146,'Lookup Tables'!$A$3:$AA$3),FALSE)</f>
        <v>1.4839</v>
      </c>
      <c r="AG146" s="12">
        <v>9</v>
      </c>
      <c r="AH146" s="122">
        <f>AB146-AF146</f>
        <v>0.5161</v>
      </c>
      <c r="AI146" s="119">
        <f>IF(AG146&lt;=AH146,AG146,AH146)</f>
        <v>0.5161</v>
      </c>
      <c r="AJ146" s="119">
        <f>IF((AG146+AF146)&lt;=0,0,1)</f>
        <v>1</v>
      </c>
      <c r="AK146" s="124">
        <f>((('Rate Tables'!D73*$E146)*PersonCalcYr1!AI146)*$F146)*AJ146</f>
        <v>0</v>
      </c>
      <c r="AL146" s="28">
        <f>AB146-AF146-AI146</f>
        <v>0</v>
      </c>
      <c r="AM146" s="19">
        <f>VLOOKUP(B142,'Lookup Tables'!$AK$22:$AM$24,2,0)</f>
        <v>0</v>
      </c>
      <c r="AN146" s="12"/>
      <c r="AO146" s="227"/>
      <c r="AP146" s="350"/>
      <c r="AQ146" s="276" t="s">
        <v>184</v>
      </c>
      <c r="AR146" s="285">
        <f>AR144*'Rate Tables'!P$8</f>
        <v>0</v>
      </c>
      <c r="AS146" s="15"/>
    </row>
    <row r="147" spans="1:47" ht="13.5" customHeight="1" x14ac:dyDescent="0.25">
      <c r="A147" s="145"/>
      <c r="B147" s="12"/>
      <c r="C147" s="117" t="s">
        <v>597</v>
      </c>
      <c r="D147" s="12"/>
      <c r="E147" s="13" t="s">
        <v>16</v>
      </c>
      <c r="F147" s="13" t="s">
        <v>42</v>
      </c>
      <c r="G147" s="13" t="s">
        <v>41</v>
      </c>
      <c r="H147" s="65" t="s">
        <v>77</v>
      </c>
      <c r="I147" s="64" t="s">
        <v>90</v>
      </c>
      <c r="J147" s="63" t="s">
        <v>70</v>
      </c>
      <c r="K147" s="52" t="s">
        <v>109</v>
      </c>
      <c r="L147" s="13" t="s">
        <v>53</v>
      </c>
      <c r="M147" s="13" t="s">
        <v>82</v>
      </c>
      <c r="N147" s="13" t="s">
        <v>32</v>
      </c>
      <c r="O147" s="14" t="s">
        <v>69</v>
      </c>
      <c r="P147" s="13" t="s">
        <v>72</v>
      </c>
      <c r="Q147" s="65" t="s">
        <v>80</v>
      </c>
      <c r="R147" s="62" t="s">
        <v>81</v>
      </c>
      <c r="S147" s="65" t="s">
        <v>77</v>
      </c>
      <c r="T147" s="600" t="s">
        <v>83</v>
      </c>
      <c r="U147" s="63" t="s">
        <v>70</v>
      </c>
      <c r="V147" s="13" t="s">
        <v>92</v>
      </c>
      <c r="W147" s="13" t="s">
        <v>44</v>
      </c>
      <c r="X147" s="13" t="s">
        <v>78</v>
      </c>
      <c r="Y147" s="13" t="s">
        <v>68</v>
      </c>
      <c r="Z147" s="13" t="s">
        <v>33</v>
      </c>
      <c r="AA147" s="14" t="s">
        <v>69</v>
      </c>
      <c r="AB147" s="13" t="s">
        <v>72</v>
      </c>
      <c r="AC147" s="13" t="s">
        <v>80</v>
      </c>
      <c r="AD147" s="62" t="s">
        <v>81</v>
      </c>
      <c r="AE147" s="65" t="s">
        <v>77</v>
      </c>
      <c r="AF147" s="63" t="s">
        <v>70</v>
      </c>
      <c r="AG147" s="13" t="s">
        <v>94</v>
      </c>
      <c r="AH147" s="13" t="s">
        <v>45</v>
      </c>
      <c r="AI147" s="13" t="s">
        <v>79</v>
      </c>
      <c r="AJ147" s="13" t="s">
        <v>68</v>
      </c>
      <c r="AK147" s="13" t="s">
        <v>34</v>
      </c>
      <c r="AL147" s="14" t="s">
        <v>69</v>
      </c>
      <c r="AM147" s="13"/>
      <c r="AN147" s="12"/>
      <c r="AO147" s="227"/>
      <c r="AP147" s="351"/>
      <c r="AQ147" s="227"/>
      <c r="AR147" s="285"/>
      <c r="AS147" s="15"/>
    </row>
    <row r="148" spans="1:47" ht="13.5" customHeight="1" x14ac:dyDescent="0.25">
      <c r="A148" s="145"/>
      <c r="B148" s="12"/>
      <c r="C148" s="115"/>
      <c r="D148" s="12"/>
      <c r="E148" s="118">
        <f>AP144</f>
        <v>0</v>
      </c>
      <c r="F148" s="19">
        <f>IF($D$4=2023,1,0)</f>
        <v>0</v>
      </c>
      <c r="G148" s="178">
        <f>IF($B170="Yes",$C$5,$I169)</f>
        <v>12</v>
      </c>
      <c r="H148" s="36">
        <f>VLOOKUP(H168,'Lookup Tables'!$A$22:$B$33,2,FALSE)</f>
        <v>3</v>
      </c>
      <c r="I148" s="192">
        <f>VLOOKUP($E$4,'Lookup Tables'!$AB$46:$AN$58,MATCH($H148,'Lookup Tables'!$AB$46:$AN$46),FALSE)</f>
        <v>12</v>
      </c>
      <c r="J148" s="586">
        <f>VLOOKUP(H148,'Lookup Tables'!$A$3:$AA$16,MATCH(PersonCalcYr1!$G148,'Lookup Tables'!$A$3:$AA$3),FALSE)</f>
        <v>1.5161</v>
      </c>
      <c r="K148" s="54">
        <f>VLOOKUP($H168,'Lookup Tables'!$K$23:$L$34,2,FALSE)</f>
        <v>0</v>
      </c>
      <c r="L148" s="12">
        <f>IF(G148&lt;=K148,G148,K148)</f>
        <v>0</v>
      </c>
      <c r="M148" s="195">
        <f>IF(12-I148&gt;=1,1,0)</f>
        <v>0</v>
      </c>
      <c r="N148" s="15">
        <f>(('Rate Tables'!C73*PersonCalcYr1!E148)*PersonCalcYr1!L148)*PersonCalcYr1!F148*M148</f>
        <v>0</v>
      </c>
      <c r="O148" s="28">
        <f>G148-((J148+L148)*M148)</f>
        <v>12</v>
      </c>
      <c r="P148" s="8">
        <f>IF(O148&lt;0,O148*0,1)*O148</f>
        <v>12</v>
      </c>
      <c r="Q148" s="120">
        <f>VLOOKUP($H168,'Lookup Tables'!$A$22:$B$33,2,FALSE)+(L148*M148)+(J148*M148)</f>
        <v>3</v>
      </c>
      <c r="R148" s="121" t="str">
        <f>VLOOKUP(Q148,'Lookup Tables'!$A$38:$B$151,2,FALSE)</f>
        <v>Sept</v>
      </c>
      <c r="S148" s="36">
        <f>VLOOKUP(R148,'Lookup Tables'!$A$22:$B$33,2,FALSE)</f>
        <v>3</v>
      </c>
      <c r="T148" s="599">
        <f>VLOOKUP($E$4,'Lookup Tables'!$AB$63:$AN$75,MATCH(PersonCalcYr1!$S148,'Lookup Tables'!$AB$63:$AN$63),FALSE)</f>
        <v>0.5161</v>
      </c>
      <c r="U148" s="34">
        <f>VLOOKUP(S148,'Lookup Tables'!$A$3:$AA$16,MATCH(PersonCalcYr1!$P148,'Lookup Tables'!$A$3:$AA$3),FALSE)</f>
        <v>1.5161</v>
      </c>
      <c r="V148" s="12">
        <f>9-T148</f>
        <v>8.4839000000000002</v>
      </c>
      <c r="W148" s="122">
        <f>P148-U148</f>
        <v>10.4839</v>
      </c>
      <c r="X148" s="119">
        <f>IF(V148&lt;=W148,V148,W148)</f>
        <v>8.4839000000000002</v>
      </c>
      <c r="Y148" s="195">
        <f>IF(12-T148-U148-X148&gt;=0,1,0)</f>
        <v>1</v>
      </c>
      <c r="Z148" s="20">
        <f>((('Rate Tables'!D73*$E148)*PersonCalcYr1!$X148)*$F148)*Y148</f>
        <v>0</v>
      </c>
      <c r="AA148" s="197">
        <f>O148-(((U148*U150)+X148)*Y148)</f>
        <v>2</v>
      </c>
      <c r="AB148" s="8">
        <f>IF(AA148&lt;0,AA148*0,1)*AA148</f>
        <v>2</v>
      </c>
      <c r="AC148" s="601">
        <f>S148+(X148*Y148)+((U148*U150)*Y148)</f>
        <v>13</v>
      </c>
      <c r="AD148" s="121" t="str">
        <f>VLOOKUP(AC148,'Lookup Tables'!$A$38:$B$151,2,FALSE)</f>
        <v>July</v>
      </c>
      <c r="AE148" s="36">
        <f>VLOOKUP(AD148,'Lookup Tables'!$A$22:$B$33,2,FALSE)</f>
        <v>1</v>
      </c>
      <c r="AF148" s="34">
        <f>VLOOKUP(AE148,'Lookup Tables'!$A$3:$AA$16,MATCH(PersonCalcYr1!AB148,'Lookup Tables'!$A$3:$AA$3),FALSE)</f>
        <v>1.4839</v>
      </c>
      <c r="AG148" s="12">
        <v>9</v>
      </c>
      <c r="AH148" s="122">
        <f>AB148-AF148</f>
        <v>0.5161</v>
      </c>
      <c r="AI148" s="119">
        <f>IF(AG148&lt;=AH148,AG148,AH148)</f>
        <v>0.5161</v>
      </c>
      <c r="AJ148" s="119">
        <f>IF((AG148+AF148)&lt;=0,0,1)</f>
        <v>1</v>
      </c>
      <c r="AK148" s="124">
        <f>((('Rate Tables'!E73*$E148)*PersonCalcYr1!AI148)*$F148)*AJ148</f>
        <v>0</v>
      </c>
      <c r="AL148" s="28">
        <f>AB148-AF148-AI148</f>
        <v>0</v>
      </c>
      <c r="AM148" s="19"/>
      <c r="AN148" s="12"/>
      <c r="AO148" s="1199" t="s">
        <v>580</v>
      </c>
      <c r="AP148" s="349" t="s">
        <v>643</v>
      </c>
      <c r="AQ148" s="276" t="s">
        <v>134</v>
      </c>
      <c r="AR148" s="285">
        <f>(((O150+O151+AA150+AA151+AL150+AL151)*AM150)*AR149)*AP151</f>
        <v>0</v>
      </c>
      <c r="AS148" s="15"/>
    </row>
    <row r="149" spans="1:47" ht="13.5" customHeight="1" x14ac:dyDescent="0.25">
      <c r="A149" s="145"/>
      <c r="B149" s="12"/>
      <c r="C149" s="115"/>
      <c r="D149" s="12"/>
      <c r="E149" s="118"/>
      <c r="F149" s="19"/>
      <c r="G149" s="12"/>
      <c r="H149" s="12"/>
      <c r="I149" s="141"/>
      <c r="J149" s="228" t="s">
        <v>183</v>
      </c>
      <c r="K149" s="13" t="s">
        <v>181</v>
      </c>
      <c r="L149" s="13" t="s">
        <v>179</v>
      </c>
      <c r="M149" s="13" t="s">
        <v>180</v>
      </c>
      <c r="N149" s="660" t="s">
        <v>128</v>
      </c>
      <c r="O149" s="135" t="s">
        <v>130</v>
      </c>
      <c r="P149" s="8"/>
      <c r="Q149" s="123"/>
      <c r="R149" s="12"/>
      <c r="S149" s="12"/>
      <c r="T149" s="12"/>
      <c r="U149" s="12"/>
      <c r="V149" s="228" t="s">
        <v>183</v>
      </c>
      <c r="W149" s="13" t="s">
        <v>181</v>
      </c>
      <c r="X149" s="13" t="s">
        <v>179</v>
      </c>
      <c r="Y149" s="13" t="s">
        <v>180</v>
      </c>
      <c r="Z149" s="52" t="s">
        <v>128</v>
      </c>
      <c r="AA149" s="135" t="s">
        <v>130</v>
      </c>
      <c r="AB149" s="8"/>
      <c r="AC149" s="123"/>
      <c r="AD149" s="12"/>
      <c r="AE149" s="12"/>
      <c r="AF149" s="12"/>
      <c r="AG149" s="228" t="s">
        <v>183</v>
      </c>
      <c r="AH149" s="13" t="s">
        <v>181</v>
      </c>
      <c r="AI149" s="13" t="s">
        <v>179</v>
      </c>
      <c r="AJ149" s="13" t="s">
        <v>180</v>
      </c>
      <c r="AK149" s="52" t="s">
        <v>128</v>
      </c>
      <c r="AL149" s="135" t="s">
        <v>130</v>
      </c>
      <c r="AM149" s="13" t="s">
        <v>159</v>
      </c>
      <c r="AN149" s="12"/>
      <c r="AO149" s="1199"/>
      <c r="AP149" s="350" t="s">
        <v>644</v>
      </c>
      <c r="AQ149" s="227" t="s">
        <v>582</v>
      </c>
      <c r="AR149" s="663">
        <f>IF(AR144&gt;0,1,0)</f>
        <v>0</v>
      </c>
      <c r="AS149" s="15"/>
    </row>
    <row r="150" spans="1:47" ht="13.5" customHeight="1" x14ac:dyDescent="0.25">
      <c r="A150" s="145"/>
      <c r="B150" s="227"/>
      <c r="C150" s="115"/>
      <c r="D150" s="12"/>
      <c r="E150" s="118"/>
      <c r="F150" s="19"/>
      <c r="G150" s="12"/>
      <c r="H150" s="12"/>
      <c r="I150" s="141"/>
      <c r="J150" s="141">
        <f>IF($AO155&gt;0,1,0)</f>
        <v>0</v>
      </c>
      <c r="K150" s="12">
        <f>IF($AO155=0,1,0)</f>
        <v>1</v>
      </c>
      <c r="L150" s="129">
        <f>'Rate Tables'!$P$17</f>
        <v>910</v>
      </c>
      <c r="M150" s="129">
        <f>'Rate Tables'!$Q$17</f>
        <v>933.34</v>
      </c>
      <c r="N150" s="661">
        <f>ROUNDUP(N152,0)</f>
        <v>0</v>
      </c>
      <c r="O150" s="136">
        <f>((J150*L150)+(K150*M150))*N150</f>
        <v>0</v>
      </c>
      <c r="P150" s="8"/>
      <c r="Q150" s="123"/>
      <c r="R150" s="12"/>
      <c r="S150" s="12"/>
      <c r="T150" s="605" t="s">
        <v>573</v>
      </c>
      <c r="U150" s="606">
        <f>VLOOKUP($E$4,'Lookup Tables'!$L$79:$X$91,MATCH(PersonCalcYr1!$S146,'Lookup Tables'!$L$79:$X$79),FALSE)</f>
        <v>1</v>
      </c>
      <c r="V150" s="141">
        <f>IF($AO155&gt;0,1,0)</f>
        <v>0</v>
      </c>
      <c r="W150" s="12">
        <f>IF($AO155=0,1,0)</f>
        <v>1</v>
      </c>
      <c r="X150" s="129">
        <f>'Rate Tables'!$P$18</f>
        <v>910</v>
      </c>
      <c r="Y150" s="129">
        <f>'Rate Tables'!$Q$18</f>
        <v>933.34</v>
      </c>
      <c r="Z150" s="657">
        <f>IF(Y152&lt;=AA152,Y152,AA152)</f>
        <v>9</v>
      </c>
      <c r="AA150" s="136">
        <f>((V150*X150)+(W150*Y150))*Z150</f>
        <v>8400.06</v>
      </c>
      <c r="AB150" s="8"/>
      <c r="AC150" s="123"/>
      <c r="AD150" s="12"/>
      <c r="AE150" s="12"/>
      <c r="AF150" s="12"/>
      <c r="AG150" s="141">
        <f>IF($AO155&gt;0,1,0)</f>
        <v>0</v>
      </c>
      <c r="AH150" s="12">
        <f>IF($AO155=0,1,0)</f>
        <v>1</v>
      </c>
      <c r="AI150" s="129">
        <f>'Rate Tables'!$P$19</f>
        <v>910</v>
      </c>
      <c r="AJ150" s="129">
        <f>'Rate Tables'!$Q$19</f>
        <v>933.34</v>
      </c>
      <c r="AK150" s="657">
        <f>IF(AJ152&lt;=AL152,AJ152,AL152)</f>
        <v>0</v>
      </c>
      <c r="AL150" s="136">
        <f>((AG150*AI150)+(AH150*AJ150))*AK150</f>
        <v>0</v>
      </c>
      <c r="AM150" s="19">
        <f>VLOOKUP(B142,'Lookup Tables'!$AK$22:$AM$24,2,0)</f>
        <v>0</v>
      </c>
      <c r="AN150" s="12"/>
      <c r="AO150" s="307">
        <f>N152+N153+Z152+Z153+AK152+AK153</f>
        <v>9</v>
      </c>
      <c r="AP150" s="358" t="str">
        <f>IF(AP144=50%,"no",Personnel!G70)</f>
        <v>No</v>
      </c>
      <c r="AQ150" s="12"/>
      <c r="AR150" s="285"/>
      <c r="AS150" s="15"/>
    </row>
    <row r="151" spans="1:47" ht="13.5" customHeight="1" x14ac:dyDescent="0.25">
      <c r="A151" s="145"/>
      <c r="B151" s="12"/>
      <c r="C151" s="115"/>
      <c r="D151" s="12"/>
      <c r="E151" s="126"/>
      <c r="F151" s="19"/>
      <c r="G151" s="12"/>
      <c r="H151" s="12"/>
      <c r="I151" s="12"/>
      <c r="J151" s="141">
        <f>IF($AO155&gt;0,1,0)</f>
        <v>0</v>
      </c>
      <c r="K151" s="12">
        <f>IF($AO155=0,1,0)</f>
        <v>1</v>
      </c>
      <c r="L151" s="129">
        <f>'Rate Tables'!$P$18</f>
        <v>910</v>
      </c>
      <c r="M151" s="129">
        <f>'Rate Tables'!$Q$18</f>
        <v>933.34</v>
      </c>
      <c r="N151" s="661">
        <f>ROUNDUP(N153,0)</f>
        <v>0</v>
      </c>
      <c r="O151" s="136">
        <f>((J151*L151)+(K151*M151))*N151</f>
        <v>0</v>
      </c>
      <c r="P151" s="19"/>
      <c r="Q151" s="19"/>
      <c r="R151" s="19"/>
      <c r="S151" s="19"/>
      <c r="T151" s="19"/>
      <c r="U151" s="12"/>
      <c r="V151" s="141">
        <f>IF($AO155&gt;0,1,0)</f>
        <v>0</v>
      </c>
      <c r="W151" s="12">
        <f>IF($AO155=0,1,0)</f>
        <v>1</v>
      </c>
      <c r="X151" s="129">
        <f>'Rate Tables'!$P$19</f>
        <v>910</v>
      </c>
      <c r="Y151" s="129">
        <f>'Rate Tables'!$Q$19</f>
        <v>933.34</v>
      </c>
      <c r="Z151" s="657">
        <f>IF(Y152&lt;=AA153,Y152,AA153)</f>
        <v>0</v>
      </c>
      <c r="AA151" s="136">
        <f>((V151*X151)+(W151*Y151))*Z151</f>
        <v>0</v>
      </c>
      <c r="AB151" s="20"/>
      <c r="AC151" s="20"/>
      <c r="AD151" s="20"/>
      <c r="AE151" s="20"/>
      <c r="AF151" s="123"/>
      <c r="AG151" s="141">
        <f>IF($AO155&gt;0,1,0)</f>
        <v>0</v>
      </c>
      <c r="AH151" s="12">
        <f>IF($AO155=0,1,0)</f>
        <v>1</v>
      </c>
      <c r="AI151" s="129">
        <f>'Rate Tables'!$P$20</f>
        <v>928.2</v>
      </c>
      <c r="AJ151" s="129">
        <f>'Rate Tables'!$Q$20</f>
        <v>952</v>
      </c>
      <c r="AK151" s="657">
        <f>IF(AJ152&lt;=AL153,AJ152,AL153)</f>
        <v>0</v>
      </c>
      <c r="AL151" s="136">
        <f>((AG151*AI151)+(AH151*AJ151))*AK151</f>
        <v>0</v>
      </c>
      <c r="AM151" s="19"/>
      <c r="AN151" s="12"/>
      <c r="AO151" s="307">
        <f>ROUNDUP(AO150,0)</f>
        <v>9</v>
      </c>
      <c r="AP151" s="349">
        <f>IF(AP150="yes",0.5,1)</f>
        <v>1</v>
      </c>
      <c r="AQ151" s="12"/>
      <c r="AR151" s="285"/>
      <c r="AS151" s="15"/>
    </row>
    <row r="152" spans="1:47" ht="13.5" customHeight="1" x14ac:dyDescent="0.25">
      <c r="A152" s="145"/>
      <c r="B152" s="12"/>
      <c r="C152" s="115"/>
      <c r="D152" s="12"/>
      <c r="E152" s="126"/>
      <c r="F152" s="19"/>
      <c r="G152" s="12" t="s">
        <v>585</v>
      </c>
      <c r="H152" s="12"/>
      <c r="I152" s="12"/>
      <c r="J152" s="141"/>
      <c r="K152" s="12"/>
      <c r="L152" s="129"/>
      <c r="M152" s="129"/>
      <c r="N152" s="661">
        <f>L146*M146*F146</f>
        <v>0</v>
      </c>
      <c r="O152" s="136"/>
      <c r="P152" s="19"/>
      <c r="Q152" s="19"/>
      <c r="R152" s="19"/>
      <c r="S152" s="19"/>
      <c r="T152" s="19"/>
      <c r="U152" s="12"/>
      <c r="V152" s="141"/>
      <c r="W152" s="12"/>
      <c r="X152" s="653" t="s">
        <v>581</v>
      </c>
      <c r="Y152" s="653">
        <f>AO151-N150-N151</f>
        <v>9</v>
      </c>
      <c r="Z152" s="654">
        <f>X146*Y146*F146</f>
        <v>8.4839000000000002</v>
      </c>
      <c r="AA152" s="655">
        <f>ROUNDUP(Z152,0)</f>
        <v>9</v>
      </c>
      <c r="AB152" s="20"/>
      <c r="AC152" s="20"/>
      <c r="AD152" s="20"/>
      <c r="AE152" s="20"/>
      <c r="AF152" s="123"/>
      <c r="AG152" s="141"/>
      <c r="AH152" s="12"/>
      <c r="AI152" s="653" t="s">
        <v>581</v>
      </c>
      <c r="AJ152" s="653">
        <f>Y152-Z150-Z151</f>
        <v>0</v>
      </c>
      <c r="AK152" s="654">
        <f>AI146*AJ146*F146</f>
        <v>0.5161</v>
      </c>
      <c r="AL152" s="655">
        <f>ROUNDUP(AK152,0)</f>
        <v>1</v>
      </c>
      <c r="AM152" s="19"/>
      <c r="AN152" s="12"/>
      <c r="AO152" s="307"/>
      <c r="AP152" s="349"/>
      <c r="AQ152" s="12"/>
      <c r="AR152" s="285"/>
      <c r="AS152" s="15"/>
    </row>
    <row r="153" spans="1:47" ht="13.5" customHeight="1" x14ac:dyDescent="0.25">
      <c r="A153" s="145"/>
      <c r="B153" s="12"/>
      <c r="C153" s="259" t="s">
        <v>606</v>
      </c>
      <c r="D153" s="12"/>
      <c r="E153" s="126"/>
      <c r="F153" s="19"/>
      <c r="G153" s="12"/>
      <c r="H153" s="12"/>
      <c r="I153" s="12"/>
      <c r="J153" s="12"/>
      <c r="K153" s="12"/>
      <c r="L153" s="12"/>
      <c r="M153" s="12"/>
      <c r="N153" s="662">
        <f>L148*M148*F148</f>
        <v>0</v>
      </c>
      <c r="O153" s="18"/>
      <c r="P153" s="19"/>
      <c r="Q153" s="19"/>
      <c r="R153" s="19"/>
      <c r="S153" s="19"/>
      <c r="T153" s="19"/>
      <c r="U153" s="12"/>
      <c r="V153" s="122"/>
      <c r="W153" s="122"/>
      <c r="X153" s="656"/>
      <c r="Y153" s="657"/>
      <c r="Z153" s="658">
        <f>X148*Y148*F148</f>
        <v>0</v>
      </c>
      <c r="AA153" s="659">
        <f>ROUNDUP(Z153,0)</f>
        <v>0</v>
      </c>
      <c r="AB153" s="20"/>
      <c r="AC153" s="20"/>
      <c r="AD153" s="20"/>
      <c r="AE153" s="20"/>
      <c r="AF153" s="123"/>
      <c r="AG153" s="122"/>
      <c r="AH153" s="122"/>
      <c r="AI153" s="656"/>
      <c r="AJ153" s="656"/>
      <c r="AK153" s="658">
        <f>AI148*AJ148*F148</f>
        <v>0</v>
      </c>
      <c r="AL153" s="659">
        <f>ROUNDUP(AK153,0)</f>
        <v>0</v>
      </c>
      <c r="AM153" s="19"/>
      <c r="AN153" s="12"/>
      <c r="AO153" s="370" t="s">
        <v>411</v>
      </c>
      <c r="AP153" s="352" t="str">
        <f>Personnel!G68</f>
        <v>None</v>
      </c>
      <c r="AQ153" s="276" t="s">
        <v>117</v>
      </c>
      <c r="AR153" s="285">
        <f>(N155+N157+W155+W157+AJ155+AJ157)*AM155</f>
        <v>0</v>
      </c>
      <c r="AS153" s="15"/>
      <c r="AU153" s="313"/>
    </row>
    <row r="154" spans="1:47" ht="13.5" customHeight="1" x14ac:dyDescent="0.25">
      <c r="A154" s="145"/>
      <c r="B154" s="12"/>
      <c r="C154" s="117" t="s">
        <v>30</v>
      </c>
      <c r="D154" s="12"/>
      <c r="E154" s="13" t="s">
        <v>84</v>
      </c>
      <c r="F154" s="13" t="s">
        <v>42</v>
      </c>
      <c r="G154" s="13" t="s">
        <v>41</v>
      </c>
      <c r="H154" s="65" t="s">
        <v>77</v>
      </c>
      <c r="I154" s="137" t="s">
        <v>101</v>
      </c>
      <c r="J154" s="139" t="s">
        <v>102</v>
      </c>
      <c r="K154" s="127" t="s">
        <v>98</v>
      </c>
      <c r="L154" s="13" t="s">
        <v>100</v>
      </c>
      <c r="M154" s="13" t="s">
        <v>82</v>
      </c>
      <c r="N154" s="13" t="s">
        <v>31</v>
      </c>
      <c r="O154" s="14" t="s">
        <v>69</v>
      </c>
      <c r="P154" s="13" t="s">
        <v>72</v>
      </c>
      <c r="Q154" s="13" t="s">
        <v>103</v>
      </c>
      <c r="R154" s="65" t="s">
        <v>77</v>
      </c>
      <c r="S154" s="137" t="s">
        <v>101</v>
      </c>
      <c r="T154" s="139" t="s">
        <v>102</v>
      </c>
      <c r="U154" s="12" t="s">
        <v>98</v>
      </c>
      <c r="V154" s="13" t="s">
        <v>100</v>
      </c>
      <c r="W154" s="13" t="s">
        <v>32</v>
      </c>
      <c r="X154" s="13" t="s">
        <v>69</v>
      </c>
      <c r="Y154" s="13"/>
      <c r="Z154" s="146"/>
      <c r="AA154" s="18"/>
      <c r="AB154" s="13" t="s">
        <v>72</v>
      </c>
      <c r="AC154" s="13" t="s">
        <v>103</v>
      </c>
      <c r="AD154" s="13"/>
      <c r="AE154" s="65" t="s">
        <v>77</v>
      </c>
      <c r="AF154" s="137" t="s">
        <v>101</v>
      </c>
      <c r="AG154" s="139" t="s">
        <v>102</v>
      </c>
      <c r="AH154" s="12" t="s">
        <v>98</v>
      </c>
      <c r="AI154" s="13" t="s">
        <v>100</v>
      </c>
      <c r="AJ154" s="13" t="s">
        <v>33</v>
      </c>
      <c r="AK154" s="13" t="s">
        <v>69</v>
      </c>
      <c r="AL154" s="18"/>
      <c r="AM154" s="13" t="s">
        <v>159</v>
      </c>
      <c r="AN154" s="12"/>
      <c r="AO154" s="276" t="s">
        <v>95</v>
      </c>
      <c r="AP154" s="349"/>
      <c r="AQ154" s="276" t="s">
        <v>186</v>
      </c>
      <c r="AR154" s="285">
        <f>AR153*'Rate Tables'!P$8</f>
        <v>0</v>
      </c>
      <c r="AS154" s="15"/>
    </row>
    <row r="155" spans="1:47" ht="13.5" customHeight="1" x14ac:dyDescent="0.25">
      <c r="A155" s="145"/>
      <c r="B155" s="12"/>
      <c r="C155" s="115"/>
      <c r="D155" s="12"/>
      <c r="E155" s="211">
        <f>IF(H170&lt;=H171,H170,H171)</f>
        <v>0</v>
      </c>
      <c r="F155" s="19">
        <f>IF($D$4=2022,1,0)</f>
        <v>1</v>
      </c>
      <c r="G155" s="178">
        <f>IF($B170="Yes",$C$5,$I169)</f>
        <v>12</v>
      </c>
      <c r="H155" s="36">
        <f>H146</f>
        <v>3</v>
      </c>
      <c r="I155" s="138">
        <f>VLOOKUP(J146,'Lookup Tables'!$AB$22:$AC$31,2,FALSE)</f>
        <v>32</v>
      </c>
      <c r="J155" s="140">
        <f>VLOOKUP(U146,'Lookup Tables'!$AB$32:$AC$41,2,FALSE)</f>
        <v>33</v>
      </c>
      <c r="K155" s="123">
        <f>E155-J155</f>
        <v>-33</v>
      </c>
      <c r="L155" s="12">
        <f>IF(K155&gt;0,1,0)</f>
        <v>0</v>
      </c>
      <c r="M155" s="119">
        <f>M146</f>
        <v>0</v>
      </c>
      <c r="N155" s="15">
        <f>((((('Rate Tables'!B73*9)*0.02778)/5)*K155)*L155)*F155*M155*AO157</f>
        <v>0</v>
      </c>
      <c r="O155" s="28">
        <f>O146</f>
        <v>12</v>
      </c>
      <c r="P155" s="8">
        <f>IF(O155&lt;0,O155*0,1)*O155</f>
        <v>12</v>
      </c>
      <c r="Q155" s="123">
        <f>(E155-K155*F155*L155*M155)</f>
        <v>0</v>
      </c>
      <c r="R155" s="36">
        <f>S146</f>
        <v>3</v>
      </c>
      <c r="S155" s="138">
        <f>VLOOKUP(U146,'Lookup Tables'!$AB$22:$AC$31,2,FALSE)</f>
        <v>32</v>
      </c>
      <c r="T155" s="140">
        <f>VLOOKUP(AF146,'Lookup Tables'!$AB$32:$AC$41,2,FALSE)</f>
        <v>33</v>
      </c>
      <c r="U155" s="129">
        <f>Q155-T155</f>
        <v>-33</v>
      </c>
      <c r="V155" s="12">
        <f>IF(U155&gt;0,1,0)</f>
        <v>0</v>
      </c>
      <c r="W155" s="15">
        <f>((('Rate Tables'!C73*9)*0.02778)/5)*U155*F155*V155*AO157</f>
        <v>0</v>
      </c>
      <c r="X155" s="8">
        <f>AA146</f>
        <v>2</v>
      </c>
      <c r="Y155" s="12"/>
      <c r="Z155" s="119"/>
      <c r="AA155" s="18"/>
      <c r="AB155" s="8">
        <f>IF(X155&lt;0,X155*0,1)*X155</f>
        <v>2</v>
      </c>
      <c r="AC155" s="123">
        <f>Q155-(U155*V155)</f>
        <v>0</v>
      </c>
      <c r="AD155" s="12"/>
      <c r="AE155" s="36">
        <f>AE146</f>
        <v>1</v>
      </c>
      <c r="AF155" s="138">
        <f>VLOOKUP(AF146,'Lookup Tables'!$AB$22:$AC$31,2,FALSE)</f>
        <v>32</v>
      </c>
      <c r="AG155" s="140">
        <v>0</v>
      </c>
      <c r="AH155" s="125">
        <f>AC155-AG155</f>
        <v>0</v>
      </c>
      <c r="AI155" s="12">
        <f>IF(AH155&gt;0,1,0)</f>
        <v>0</v>
      </c>
      <c r="AJ155" s="15">
        <f>((('Rate Tables'!D73*9)*0.02778)/5)*AH155*AI155*F155*AO157</f>
        <v>0</v>
      </c>
      <c r="AK155" s="8">
        <f>AL146</f>
        <v>0</v>
      </c>
      <c r="AL155" s="18"/>
      <c r="AM155" s="19">
        <f>VLOOKUP(B142,'Lookup Tables'!$AK$22:$AM$24,2,0)</f>
        <v>0</v>
      </c>
      <c r="AN155" s="12"/>
      <c r="AO155" s="308">
        <f>VLOOKUP(AP153,'Lookup Tables'!$AF$22:$AG$24,2,FALSE)</f>
        <v>0</v>
      </c>
      <c r="AP155" s="349" t="s">
        <v>643</v>
      </c>
      <c r="AQ155" s="12"/>
      <c r="AR155" s="285"/>
      <c r="AS155" s="15"/>
    </row>
    <row r="156" spans="1:47" ht="13.5" customHeight="1" x14ac:dyDescent="0.25">
      <c r="A156" s="145"/>
      <c r="B156" s="12"/>
      <c r="C156" s="117" t="s">
        <v>597</v>
      </c>
      <c r="D156" s="12"/>
      <c r="E156" s="13" t="s">
        <v>84</v>
      </c>
      <c r="F156" s="13" t="s">
        <v>42</v>
      </c>
      <c r="G156" s="13" t="s">
        <v>41</v>
      </c>
      <c r="H156" s="65" t="s">
        <v>77</v>
      </c>
      <c r="I156" s="137" t="s">
        <v>105</v>
      </c>
      <c r="J156" s="139" t="s">
        <v>106</v>
      </c>
      <c r="K156" s="127" t="s">
        <v>99</v>
      </c>
      <c r="L156" s="13" t="s">
        <v>100</v>
      </c>
      <c r="M156" s="13" t="s">
        <v>82</v>
      </c>
      <c r="N156" s="13" t="s">
        <v>32</v>
      </c>
      <c r="O156" s="14" t="s">
        <v>69</v>
      </c>
      <c r="P156" s="13" t="s">
        <v>72</v>
      </c>
      <c r="Q156" s="13" t="s">
        <v>103</v>
      </c>
      <c r="R156" s="65" t="s">
        <v>77</v>
      </c>
      <c r="S156" s="137" t="s">
        <v>105</v>
      </c>
      <c r="T156" s="139" t="s">
        <v>106</v>
      </c>
      <c r="U156" s="12" t="s">
        <v>98</v>
      </c>
      <c r="V156" s="13" t="s">
        <v>100</v>
      </c>
      <c r="W156" s="13" t="s">
        <v>33</v>
      </c>
      <c r="X156" s="13" t="s">
        <v>69</v>
      </c>
      <c r="Y156" s="13"/>
      <c r="Z156" s="13"/>
      <c r="AA156" s="18"/>
      <c r="AB156" s="13" t="s">
        <v>72</v>
      </c>
      <c r="AC156" s="13" t="s">
        <v>104</v>
      </c>
      <c r="AD156" s="13"/>
      <c r="AE156" s="65" t="s">
        <v>77</v>
      </c>
      <c r="AF156" s="137" t="s">
        <v>105</v>
      </c>
      <c r="AG156" s="139" t="s">
        <v>106</v>
      </c>
      <c r="AH156" s="12" t="s">
        <v>98</v>
      </c>
      <c r="AI156" s="13" t="s">
        <v>100</v>
      </c>
      <c r="AJ156" s="13" t="s">
        <v>34</v>
      </c>
      <c r="AK156" s="13" t="s">
        <v>69</v>
      </c>
      <c r="AL156" s="18"/>
      <c r="AM156" s="13"/>
      <c r="AN156" s="12"/>
      <c r="AO156" s="227" t="s">
        <v>126</v>
      </c>
      <c r="AP156" s="350" t="s">
        <v>644</v>
      </c>
      <c r="AQ156" s="276" t="s">
        <v>187</v>
      </c>
      <c r="AR156" s="285">
        <f>(((O159+O160+AA159+AA160+AL159+AL160)*AM159)*AR157)*AP158</f>
        <v>0</v>
      </c>
      <c r="AS156" s="15"/>
    </row>
    <row r="157" spans="1:47" ht="13.5" customHeight="1" x14ac:dyDescent="0.25">
      <c r="A157" s="145"/>
      <c r="B157" s="12"/>
      <c r="C157" s="115"/>
      <c r="D157" s="12"/>
      <c r="E157" s="128">
        <f>E155</f>
        <v>0</v>
      </c>
      <c r="F157" s="19">
        <f>IF($D$4=2023,1,0)</f>
        <v>0</v>
      </c>
      <c r="G157" s="178">
        <f>IF($B170="Yes",$C$5,$I169)</f>
        <v>12</v>
      </c>
      <c r="H157" s="36">
        <f>H148</f>
        <v>3</v>
      </c>
      <c r="I157" s="138">
        <f>VLOOKUP(J148,'Lookup Tables'!$AB$22:$AC$31,2,FALSE)</f>
        <v>32</v>
      </c>
      <c r="J157" s="140">
        <f>VLOOKUP(U148,'Lookup Tables'!$AB$32:$AC$41,2,FALSE)</f>
        <v>33</v>
      </c>
      <c r="K157" s="123">
        <f>E157-J157</f>
        <v>-33</v>
      </c>
      <c r="L157" s="12">
        <f>IF(K157&gt;0,1,0)</f>
        <v>0</v>
      </c>
      <c r="M157" s="119">
        <f>M148</f>
        <v>0</v>
      </c>
      <c r="N157" s="15">
        <f>((((('Rate Tables'!C73*9)*0.02778)/5)*K157)*L157)*F157*M157*AO157</f>
        <v>0</v>
      </c>
      <c r="O157" s="28">
        <f>O148</f>
        <v>12</v>
      </c>
      <c r="P157" s="8">
        <f>IF(O157&lt;0,O157*0,1)*O157</f>
        <v>12</v>
      </c>
      <c r="Q157" s="123">
        <f>(E157-K157*F157*L157*M157)</f>
        <v>0</v>
      </c>
      <c r="R157" s="36">
        <f>S148</f>
        <v>3</v>
      </c>
      <c r="S157" s="138">
        <f>VLOOKUP(U148,'Lookup Tables'!$AB$22:$AC$31,2,FALSE)</f>
        <v>32</v>
      </c>
      <c r="T157" s="140">
        <f>VLOOKUP(AF148,'Lookup Tables'!$AB$32:$AC$41,2,FALSE)</f>
        <v>33</v>
      </c>
      <c r="U157" s="129">
        <f>Q157-T157</f>
        <v>-33</v>
      </c>
      <c r="V157" s="12">
        <f>IF(U157&gt;0,1,0)</f>
        <v>0</v>
      </c>
      <c r="W157" s="15">
        <f>((('Rate Tables'!D73*9)*0.02778)/5)*U157*F157*V157*AO157</f>
        <v>0</v>
      </c>
      <c r="X157" s="8">
        <f>AA148</f>
        <v>2</v>
      </c>
      <c r="Y157" s="12"/>
      <c r="Z157" s="119"/>
      <c r="AA157" s="18"/>
      <c r="AB157" s="8">
        <f>IF(X157&lt;0,X157*0,1)*X157</f>
        <v>2</v>
      </c>
      <c r="AC157" s="123">
        <f>Q157-(U157*V157)</f>
        <v>0</v>
      </c>
      <c r="AD157" s="12"/>
      <c r="AE157" s="36">
        <f>AE148</f>
        <v>1</v>
      </c>
      <c r="AF157" s="138">
        <f>VLOOKUP(AF148,'Lookup Tables'!$AB$22:$AC$31,2,FALSE)</f>
        <v>32</v>
      </c>
      <c r="AG157" s="140">
        <v>0</v>
      </c>
      <c r="AH157" s="125">
        <f>AC157-AG157</f>
        <v>0</v>
      </c>
      <c r="AI157" s="12">
        <f>IF(AH157&gt;0,1,0)</f>
        <v>0</v>
      </c>
      <c r="AJ157" s="15">
        <f>((('Rate Tables'!E73*9)*0.02778)/5)*AH157*AI157*F157*AO157</f>
        <v>0</v>
      </c>
      <c r="AK157" s="8">
        <f>AL148</f>
        <v>0</v>
      </c>
      <c r="AL157" s="18"/>
      <c r="AM157" s="19"/>
      <c r="AN157" s="12"/>
      <c r="AO157" s="319">
        <f>VLOOKUP(AP153,'Lookup Tables'!$AF$26:$AG$28,2,0)</f>
        <v>0</v>
      </c>
      <c r="AP157" s="358" t="str">
        <f>IF(AP153="50% Sum","no",Personnel!G70)</f>
        <v>No</v>
      </c>
      <c r="AQ157" s="227" t="s">
        <v>582</v>
      </c>
      <c r="AR157" s="663">
        <f>IF(AR153&gt;0,1,0)</f>
        <v>0</v>
      </c>
      <c r="AS157" s="15"/>
    </row>
    <row r="158" spans="1:47" ht="13.5" customHeight="1" x14ac:dyDescent="0.25">
      <c r="A158" s="145"/>
      <c r="B158" s="12"/>
      <c r="C158" s="114"/>
      <c r="D158" s="12"/>
      <c r="E158" s="12"/>
      <c r="F158" s="12"/>
      <c r="G158" s="12"/>
      <c r="H158" s="12"/>
      <c r="I158" s="12" t="s">
        <v>641</v>
      </c>
      <c r="J158" s="12" t="s">
        <v>642</v>
      </c>
      <c r="K158" s="12" t="s">
        <v>164</v>
      </c>
      <c r="L158" s="13" t="s">
        <v>165</v>
      </c>
      <c r="M158" s="608" t="s">
        <v>128</v>
      </c>
      <c r="N158" s="147" t="s">
        <v>129</v>
      </c>
      <c r="O158" s="135" t="s">
        <v>130</v>
      </c>
      <c r="P158" s="12"/>
      <c r="Q158" s="12"/>
      <c r="R158" s="12"/>
      <c r="S158" s="12"/>
      <c r="T158" s="12"/>
      <c r="U158" s="12"/>
      <c r="V158" s="12" t="s">
        <v>166</v>
      </c>
      <c r="W158" s="12" t="s">
        <v>163</v>
      </c>
      <c r="X158" s="13" t="s">
        <v>165</v>
      </c>
      <c r="Y158" s="650" t="s">
        <v>128</v>
      </c>
      <c r="Z158" s="13" t="s">
        <v>129</v>
      </c>
      <c r="AA158" s="135" t="s">
        <v>130</v>
      </c>
      <c r="AB158" s="12"/>
      <c r="AC158" s="12"/>
      <c r="AD158" s="12"/>
      <c r="AE158" s="12"/>
      <c r="AF158" s="12"/>
      <c r="AG158" s="12" t="s">
        <v>166</v>
      </c>
      <c r="AH158" s="12" t="s">
        <v>163</v>
      </c>
      <c r="AI158" s="13" t="s">
        <v>165</v>
      </c>
      <c r="AJ158" s="650" t="s">
        <v>128</v>
      </c>
      <c r="AK158" s="13" t="s">
        <v>129</v>
      </c>
      <c r="AL158" s="135" t="s">
        <v>130</v>
      </c>
      <c r="AM158" s="13" t="s">
        <v>159</v>
      </c>
      <c r="AN158" s="12"/>
      <c r="AO158" s="227"/>
      <c r="AP158" s="349">
        <f>IF(AP157="yes",0.5,1)</f>
        <v>1</v>
      </c>
      <c r="AQ158" s="12"/>
      <c r="AR158" s="285"/>
      <c r="AS158" s="15"/>
    </row>
    <row r="159" spans="1:47" ht="13.5" customHeight="1" x14ac:dyDescent="0.25">
      <c r="A159" s="145"/>
      <c r="B159" s="12"/>
      <c r="C159" s="114"/>
      <c r="D159" s="12"/>
      <c r="E159" s="12"/>
      <c r="F159" s="12"/>
      <c r="G159" s="12"/>
      <c r="H159" s="12"/>
      <c r="I159" s="12">
        <f>G146</f>
        <v>12</v>
      </c>
      <c r="J159" s="125">
        <f>AO151</f>
        <v>9</v>
      </c>
      <c r="K159" s="125">
        <f>I159-J159</f>
        <v>3</v>
      </c>
      <c r="L159" s="123">
        <f>V159</f>
        <v>0</v>
      </c>
      <c r="M159" s="609">
        <f>IF(M161&lt;=0,0,ROUNDUP(M161,0))</f>
        <v>3</v>
      </c>
      <c r="N159" s="161">
        <f>'Rate Tables'!$P$17</f>
        <v>910</v>
      </c>
      <c r="O159" s="136">
        <f>(M159*N159)*F155*M155</f>
        <v>0</v>
      </c>
      <c r="P159" s="12"/>
      <c r="Q159" s="12"/>
      <c r="R159" s="12"/>
      <c r="S159" s="12"/>
      <c r="T159" s="12"/>
      <c r="U159" s="12"/>
      <c r="V159" s="12">
        <f>VLOOKUP((U155*V155),'Lookup Tables'!$E$38:$F$103,2,0)</f>
        <v>0</v>
      </c>
      <c r="W159" s="12">
        <f>K159-(M159*M155)</f>
        <v>3</v>
      </c>
      <c r="X159" s="119">
        <f>AG159</f>
        <v>0</v>
      </c>
      <c r="Y159" s="609">
        <f>IF(Y161&lt;=0,0,ROUNDUP(Y161,0))</f>
        <v>3</v>
      </c>
      <c r="Z159" s="129">
        <f>'Rate Tables'!$P$18</f>
        <v>910</v>
      </c>
      <c r="AA159" s="136">
        <f>Y159*Z159*F155*V155</f>
        <v>0</v>
      </c>
      <c r="AB159" s="12"/>
      <c r="AC159" s="12"/>
      <c r="AD159" s="12"/>
      <c r="AE159" s="12"/>
      <c r="AF159" s="12"/>
      <c r="AG159" s="12">
        <f>VLOOKUP(AH155,'Lookup Tables'!$E$38:$F$103,2,0)</f>
        <v>0</v>
      </c>
      <c r="AH159" s="125">
        <f>W159-(Y159*V155)</f>
        <v>3</v>
      </c>
      <c r="AI159" s="119">
        <v>0</v>
      </c>
      <c r="AJ159" s="609">
        <f>IF(AJ161&lt;=0,0,ROUNDUP(AJ161,0))</f>
        <v>3</v>
      </c>
      <c r="AK159" s="129">
        <f>'Rate Tables'!$P$19</f>
        <v>910</v>
      </c>
      <c r="AL159" s="136">
        <f>AJ159*AK159*F155*AI155</f>
        <v>0</v>
      </c>
      <c r="AM159" s="19">
        <f>VLOOKUP(B142,'Lookup Tables'!$AK$22:$AM$24,2,0)</f>
        <v>0</v>
      </c>
      <c r="AN159" s="12"/>
      <c r="AO159" s="307"/>
      <c r="AP159" s="358"/>
      <c r="AQ159" s="12"/>
      <c r="AR159" s="285"/>
      <c r="AS159" s="15"/>
    </row>
    <row r="160" spans="1:47" ht="13.5" customHeight="1" x14ac:dyDescent="0.25">
      <c r="A160" s="145"/>
      <c r="B160" s="12"/>
      <c r="C160" s="114"/>
      <c r="D160" s="12"/>
      <c r="E160" s="12"/>
      <c r="F160" s="12"/>
      <c r="G160" s="12"/>
      <c r="H160" s="12"/>
      <c r="I160" s="12">
        <f>G148</f>
        <v>12</v>
      </c>
      <c r="J160" s="125">
        <f>J159</f>
        <v>9</v>
      </c>
      <c r="K160" s="125">
        <f>I160-J160</f>
        <v>3</v>
      </c>
      <c r="L160" s="123">
        <f>V160</f>
        <v>0</v>
      </c>
      <c r="M160" s="609">
        <f>IF(M162&lt;=0,0,ROUNDUP(M162,0))</f>
        <v>3</v>
      </c>
      <c r="N160" s="161">
        <f>'Rate Tables'!$P$18</f>
        <v>910</v>
      </c>
      <c r="O160" s="136">
        <f>(M160*N160)*F157*M157</f>
        <v>0</v>
      </c>
      <c r="P160" s="12"/>
      <c r="Q160" s="12"/>
      <c r="R160" s="12"/>
      <c r="S160" s="12"/>
      <c r="T160" s="12"/>
      <c r="U160" s="12"/>
      <c r="V160" s="12">
        <f>VLOOKUP((U157*V157),'Lookup Tables'!$E$38:$F$103,2,0)</f>
        <v>0</v>
      </c>
      <c r="W160" s="12">
        <f>K160-(M160*M157)</f>
        <v>3</v>
      </c>
      <c r="X160" s="119">
        <f>AG160</f>
        <v>0</v>
      </c>
      <c r="Y160" s="609">
        <f>IF(Y162&lt;=0,0,ROUNDUP(Y162,0))</f>
        <v>3</v>
      </c>
      <c r="Z160" s="129">
        <f>'Rate Tables'!$P$19</f>
        <v>910</v>
      </c>
      <c r="AA160" s="136">
        <f>Y160*Z160*F157*V157</f>
        <v>0</v>
      </c>
      <c r="AB160" s="12"/>
      <c r="AC160" s="12"/>
      <c r="AD160" s="12"/>
      <c r="AE160" s="12"/>
      <c r="AF160" s="12"/>
      <c r="AG160" s="12">
        <f>VLOOKUP(AH157,'Lookup Tables'!$E$38:$F$103,2,0)</f>
        <v>0</v>
      </c>
      <c r="AH160" s="125">
        <f>W160-(Y160*V157)</f>
        <v>3</v>
      </c>
      <c r="AI160" s="119">
        <v>0</v>
      </c>
      <c r="AJ160" s="609">
        <f>IF(AJ162&lt;=0,0,ROUNDUP(AJ162,0))</f>
        <v>3</v>
      </c>
      <c r="AK160" s="129">
        <f>'Rate Tables'!$P$20</f>
        <v>928.2</v>
      </c>
      <c r="AL160" s="136">
        <f>AJ160*AK160*F157*AI157</f>
        <v>0</v>
      </c>
      <c r="AM160" s="19"/>
      <c r="AN160" s="12"/>
      <c r="AO160" s="307"/>
      <c r="AP160" s="349"/>
      <c r="AQ160" s="12"/>
      <c r="AR160" s="285"/>
      <c r="AS160" s="15"/>
    </row>
    <row r="161" spans="1:47" ht="13.5" customHeight="1" x14ac:dyDescent="0.25">
      <c r="A161" s="145"/>
      <c r="B161" s="12"/>
      <c r="C161" s="114"/>
      <c r="D161" s="12"/>
      <c r="E161" s="12"/>
      <c r="F161" s="12"/>
      <c r="G161" s="12" t="s">
        <v>584</v>
      </c>
      <c r="H161" s="12"/>
      <c r="I161" s="12"/>
      <c r="J161" s="12"/>
      <c r="K161" s="12"/>
      <c r="L161" s="123"/>
      <c r="M161" s="648">
        <f>K159-L159</f>
        <v>3</v>
      </c>
      <c r="N161" s="129"/>
      <c r="O161" s="125"/>
      <c r="P161" s="12"/>
      <c r="Q161" s="12"/>
      <c r="R161" s="12"/>
      <c r="S161" s="12"/>
      <c r="T161" s="12"/>
      <c r="U161" s="12"/>
      <c r="V161" s="12"/>
      <c r="W161" s="12"/>
      <c r="X161" s="119"/>
      <c r="Y161" s="651">
        <f>W159-X159</f>
        <v>3</v>
      </c>
      <c r="Z161" s="129"/>
      <c r="AA161" s="125"/>
      <c r="AB161" s="12"/>
      <c r="AC161" s="12"/>
      <c r="AD161" s="12"/>
      <c r="AE161" s="12"/>
      <c r="AF161" s="12"/>
      <c r="AG161" s="12"/>
      <c r="AH161" s="125"/>
      <c r="AI161" s="119"/>
      <c r="AJ161" s="651">
        <f>AH159-AI159</f>
        <v>3</v>
      </c>
      <c r="AK161" s="129"/>
      <c r="AL161" s="125"/>
      <c r="AM161" s="19"/>
      <c r="AN161" s="12"/>
      <c r="AO161" s="307"/>
      <c r="AP161" s="349"/>
      <c r="AQ161" s="12"/>
      <c r="AR161" s="285"/>
      <c r="AS161" s="15"/>
    </row>
    <row r="162" spans="1:47" ht="13.5" customHeight="1" x14ac:dyDescent="0.25">
      <c r="A162" s="145"/>
      <c r="B162" s="162"/>
      <c r="C162" s="115">
        <f>(B144*12)*2</f>
        <v>0</v>
      </c>
      <c r="D162" s="115"/>
      <c r="E162" s="126"/>
      <c r="F162" s="126"/>
      <c r="G162" s="12"/>
      <c r="H162" s="12"/>
      <c r="I162" s="12"/>
      <c r="J162" s="12"/>
      <c r="K162" s="12"/>
      <c r="L162" s="12"/>
      <c r="M162" s="649">
        <f>K160-L160</f>
        <v>3</v>
      </c>
      <c r="N162" s="12"/>
      <c r="O162" s="12"/>
      <c r="P162" s="12"/>
      <c r="Q162" s="12"/>
      <c r="R162" s="12"/>
      <c r="S162" s="12"/>
      <c r="T162" s="12"/>
      <c r="U162" s="12"/>
      <c r="V162" s="12"/>
      <c r="W162" s="12"/>
      <c r="X162" s="12"/>
      <c r="Y162" s="652">
        <f>W160-X160</f>
        <v>3</v>
      </c>
      <c r="Z162" s="12"/>
      <c r="AA162" s="12"/>
      <c r="AB162" s="12"/>
      <c r="AC162" s="12"/>
      <c r="AD162" s="12"/>
      <c r="AE162" s="12"/>
      <c r="AF162" s="12"/>
      <c r="AG162" s="12"/>
      <c r="AH162" s="12"/>
      <c r="AI162" s="12"/>
      <c r="AJ162" s="652">
        <f>AH160-AI160</f>
        <v>3</v>
      </c>
      <c r="AK162" s="12"/>
      <c r="AL162" s="12"/>
      <c r="AM162" s="12"/>
      <c r="AN162" s="12"/>
      <c r="AO162" s="306" t="s">
        <v>413</v>
      </c>
      <c r="AP162" s="348">
        <f>Personnel!G66</f>
        <v>0</v>
      </c>
      <c r="AQ162" s="276" t="s">
        <v>416</v>
      </c>
      <c r="AR162" s="285">
        <f>(M164+M166+W164+W166+AI164+AI166)*AM164</f>
        <v>0</v>
      </c>
      <c r="AS162" s="15"/>
      <c r="AU162" s="313"/>
    </row>
    <row r="163" spans="1:47" ht="13.5" customHeight="1" x14ac:dyDescent="0.25">
      <c r="A163" s="145"/>
      <c r="B163" s="12"/>
      <c r="C163" s="117" t="s">
        <v>30</v>
      </c>
      <c r="D163" s="117"/>
      <c r="E163" s="13">
        <v>0</v>
      </c>
      <c r="F163" s="13" t="s">
        <v>42</v>
      </c>
      <c r="G163" s="13" t="s">
        <v>41</v>
      </c>
      <c r="H163" s="65" t="s">
        <v>77</v>
      </c>
      <c r="I163" s="150" t="s">
        <v>50</v>
      </c>
      <c r="J163" s="13" t="s">
        <v>52</v>
      </c>
      <c r="K163" s="13" t="s">
        <v>35</v>
      </c>
      <c r="L163" s="13" t="s">
        <v>82</v>
      </c>
      <c r="M163" s="13" t="s">
        <v>31</v>
      </c>
      <c r="N163" s="13" t="s">
        <v>69</v>
      </c>
      <c r="O163" s="12"/>
      <c r="P163" s="13" t="s">
        <v>72</v>
      </c>
      <c r="Q163" s="65" t="s">
        <v>80</v>
      </c>
      <c r="R163" s="62" t="s">
        <v>81</v>
      </c>
      <c r="S163" s="65" t="s">
        <v>77</v>
      </c>
      <c r="T163" s="674" t="s">
        <v>107</v>
      </c>
      <c r="U163" s="13" t="s">
        <v>53</v>
      </c>
      <c r="V163" s="13" t="s">
        <v>82</v>
      </c>
      <c r="W163" s="13" t="s">
        <v>32</v>
      </c>
      <c r="X163" s="13" t="s">
        <v>69</v>
      </c>
      <c r="Y163" s="12"/>
      <c r="Z163" s="12"/>
      <c r="AA163" s="12"/>
      <c r="AB163" s="13" t="s">
        <v>72</v>
      </c>
      <c r="AC163" s="13" t="s">
        <v>80</v>
      </c>
      <c r="AD163" s="62" t="s">
        <v>81</v>
      </c>
      <c r="AE163" s="65" t="s">
        <v>77</v>
      </c>
      <c r="AF163" s="151" t="s">
        <v>107</v>
      </c>
      <c r="AG163" s="13" t="s">
        <v>78</v>
      </c>
      <c r="AH163" s="13" t="s">
        <v>82</v>
      </c>
      <c r="AI163" s="13" t="s">
        <v>33</v>
      </c>
      <c r="AJ163" s="13" t="s">
        <v>69</v>
      </c>
      <c r="AK163" s="12"/>
      <c r="AL163" s="12"/>
      <c r="AM163" s="13" t="s">
        <v>159</v>
      </c>
      <c r="AN163" s="12"/>
      <c r="AO163" s="227"/>
      <c r="AP163" s="12"/>
      <c r="AQ163" s="12"/>
      <c r="AR163" s="285"/>
      <c r="AS163" s="15"/>
    </row>
    <row r="164" spans="1:47" s="12" customFormat="1" ht="13.5" customHeight="1" x14ac:dyDescent="0.25">
      <c r="A164" s="145"/>
      <c r="C164" s="115"/>
      <c r="D164" s="115"/>
      <c r="E164" s="152">
        <f>AP$162</f>
        <v>0</v>
      </c>
      <c r="F164" s="19">
        <f>IF($D$4=2022,1,0)</f>
        <v>1</v>
      </c>
      <c r="G164" s="178">
        <f>IF($B170="Yes",$C$5,$I169)</f>
        <v>12</v>
      </c>
      <c r="H164" s="36">
        <f>VLOOKUP(H168,'Lookup Tables'!$A$22:$B$33,2,FALSE)</f>
        <v>3</v>
      </c>
      <c r="I164" s="192">
        <f>VLOOKUP($E$4,'Lookup Tables'!$AB$46:$AN$58,MATCH($H164,'Lookup Tables'!$AB$46:$AN$46),FALSE)</f>
        <v>12</v>
      </c>
      <c r="J164" s="19">
        <f>12-I164</f>
        <v>0</v>
      </c>
      <c r="K164" s="19">
        <f>IF(G164&lt;J164,G164,J164)</f>
        <v>0</v>
      </c>
      <c r="L164" s="195">
        <f>IF(12-I164&gt;=1,1,0)</f>
        <v>0</v>
      </c>
      <c r="M164" s="20">
        <f>((('Rate Tables'!$B94*$E164)*PersonCalcYr1!$K164)*L164)*$F164</f>
        <v>0</v>
      </c>
      <c r="N164" s="8">
        <f>G164-(J164*L164)</f>
        <v>12</v>
      </c>
      <c r="P164" s="8">
        <f>IF(N164&lt;0,N164*0,1)*N164</f>
        <v>12</v>
      </c>
      <c r="Q164" s="120">
        <f>VLOOKUP($H168,'Lookup Tables'!$A$22:$B$33,2,FALSE)+(K164*L164)</f>
        <v>3</v>
      </c>
      <c r="R164" s="121" t="str">
        <f>VLOOKUP(Q164,'Lookup Tables'!$A$38:$B$151,2,FALSE)</f>
        <v>Sept</v>
      </c>
      <c r="S164" s="36">
        <f>VLOOKUP(R164,'Lookup Tables'!$A$22:$B$33,2,FALSE)</f>
        <v>3</v>
      </c>
      <c r="T164" s="672">
        <f>VLOOKUP($E$4,'Lookup Tables'!$AQ$46:$BC$58,MATCH(PersonCalcYr1!$S164,'Lookup Tables'!$AQ$46:$BC$46),FALSE)</f>
        <v>10</v>
      </c>
      <c r="U164" s="19">
        <f>IF(P164&lt;T164,P164,T164)</f>
        <v>10</v>
      </c>
      <c r="V164" s="119">
        <f>IF((U164)&lt;=0,0,1)</f>
        <v>1</v>
      </c>
      <c r="W164" s="20">
        <f>(('Rate Tables'!$C94*$E164)*PersonCalcYr1!$U164)*$V164*$F164</f>
        <v>0</v>
      </c>
      <c r="X164" s="8">
        <f>P164-(U164*V164)</f>
        <v>2</v>
      </c>
      <c r="AB164" s="19">
        <f>X164</f>
        <v>2</v>
      </c>
      <c r="AC164" s="123">
        <f>AC146</f>
        <v>13</v>
      </c>
      <c r="AD164" s="121" t="str">
        <f>VLOOKUP(AC164,'Lookup Tables'!$A$38:$B$151,2,FALSE)</f>
        <v>July</v>
      </c>
      <c r="AE164" s="36">
        <f>VLOOKUP(AD164,'Lookup Tables'!$A$22:$B$33,2,FALSE)</f>
        <v>1</v>
      </c>
      <c r="AF164" s="87">
        <f>VLOOKUP($AE164,'Lookup Tables'!$AC$3:$AW$16,MATCH(PersonCalcYr1!$AB164,'Lookup Tables'!$AC$3:$AW$3),FALSE)</f>
        <v>2</v>
      </c>
      <c r="AG164" s="19">
        <f>IF(AB164&lt;AF164,AB164,AF164)</f>
        <v>2</v>
      </c>
      <c r="AH164" s="119">
        <f>IF((AG164)&lt;=0,0,1)</f>
        <v>1</v>
      </c>
      <c r="AI164" s="20">
        <f>(('Rate Tables'!$D94*$E164)*PersonCalcYr1!AG164)*AH164*$F164</f>
        <v>0</v>
      </c>
      <c r="AJ164" s="8">
        <f>AB164-(AG164*AH164)</f>
        <v>0</v>
      </c>
      <c r="AM164" s="19">
        <f>VLOOKUP(B142,'Lookup Tables'!$AK$22:$AM$24,3,0)</f>
        <v>1</v>
      </c>
      <c r="AO164" s="227"/>
      <c r="AQ164" s="276" t="s">
        <v>188</v>
      </c>
      <c r="AR164" s="285">
        <f>AR162*'Rate Tables'!P$8</f>
        <v>0</v>
      </c>
      <c r="AS164" s="15"/>
    </row>
    <row r="165" spans="1:47" ht="13.5" customHeight="1" x14ac:dyDescent="0.25">
      <c r="A165" s="145"/>
      <c r="B165" s="12"/>
      <c r="C165" s="117" t="s">
        <v>597</v>
      </c>
      <c r="D165" s="117"/>
      <c r="E165" s="13">
        <v>0</v>
      </c>
      <c r="F165" s="13" t="s">
        <v>42</v>
      </c>
      <c r="G165" s="13" t="s">
        <v>41</v>
      </c>
      <c r="H165" s="65" t="s">
        <v>77</v>
      </c>
      <c r="I165" s="150" t="s">
        <v>51</v>
      </c>
      <c r="J165" s="13" t="s">
        <v>110</v>
      </c>
      <c r="K165" s="13" t="s">
        <v>53</v>
      </c>
      <c r="L165" s="13" t="s">
        <v>82</v>
      </c>
      <c r="M165" s="13" t="s">
        <v>32</v>
      </c>
      <c r="N165" s="13" t="s">
        <v>69</v>
      </c>
      <c r="O165" s="12"/>
      <c r="P165" s="13" t="s">
        <v>72</v>
      </c>
      <c r="Q165" s="65" t="s">
        <v>80</v>
      </c>
      <c r="R165" s="62" t="s">
        <v>81</v>
      </c>
      <c r="S165" s="65" t="s">
        <v>77</v>
      </c>
      <c r="T165" s="674" t="s">
        <v>107</v>
      </c>
      <c r="U165" s="13" t="s">
        <v>78</v>
      </c>
      <c r="V165" s="13" t="s">
        <v>82</v>
      </c>
      <c r="W165" s="13" t="s">
        <v>33</v>
      </c>
      <c r="X165" s="13" t="s">
        <v>69</v>
      </c>
      <c r="Y165" s="12"/>
      <c r="Z165" s="12"/>
      <c r="AA165" s="12"/>
      <c r="AB165" s="13" t="s">
        <v>72</v>
      </c>
      <c r="AC165" s="13" t="s">
        <v>80</v>
      </c>
      <c r="AD165" s="62" t="s">
        <v>81</v>
      </c>
      <c r="AE165" s="65" t="s">
        <v>77</v>
      </c>
      <c r="AF165" s="151" t="s">
        <v>107</v>
      </c>
      <c r="AG165" s="13" t="s">
        <v>79</v>
      </c>
      <c r="AH165" s="13" t="s">
        <v>82</v>
      </c>
      <c r="AI165" s="13" t="s">
        <v>34</v>
      </c>
      <c r="AJ165" s="13" t="s">
        <v>69</v>
      </c>
      <c r="AK165" s="12"/>
      <c r="AL165" s="12"/>
      <c r="AM165" s="13"/>
      <c r="AN165" s="12"/>
      <c r="AO165" s="311"/>
      <c r="AP165" s="349" t="s">
        <v>643</v>
      </c>
      <c r="AQ165" s="12"/>
      <c r="AR165" s="285"/>
      <c r="AS165" s="15"/>
    </row>
    <row r="166" spans="1:47" ht="13.5" customHeight="1" x14ac:dyDescent="0.25">
      <c r="A166" s="145"/>
      <c r="B166" s="12"/>
      <c r="C166" s="115"/>
      <c r="D166" s="115"/>
      <c r="E166" s="152">
        <f>AP$162</f>
        <v>0</v>
      </c>
      <c r="F166" s="19">
        <f>IF($D$4=2023,1,0)</f>
        <v>0</v>
      </c>
      <c r="G166" s="178">
        <f>IF($B170="Yes",$C$5,$I169)</f>
        <v>12</v>
      </c>
      <c r="H166" s="36">
        <f>VLOOKUP(H168,'Lookup Tables'!$A$22:$B$33,2,FALSE)</f>
        <v>3</v>
      </c>
      <c r="I166" s="192">
        <f>VLOOKUP($E$4,'Lookup Tables'!$AB$46:$AN$58,MATCH($H166,'Lookup Tables'!$AB$46:$AN$46),FALSE)</f>
        <v>12</v>
      </c>
      <c r="J166" s="19">
        <f>12-I166</f>
        <v>0</v>
      </c>
      <c r="K166" s="19">
        <f>IF(G166&lt;J166,G166,J166)</f>
        <v>0</v>
      </c>
      <c r="L166" s="195">
        <f>IF(12-I166&gt;=1,1,0)</f>
        <v>0</v>
      </c>
      <c r="M166" s="20">
        <f>((('Rate Tables'!$C94*$E166)*PersonCalcYr1!$K166)*L166)*$F166</f>
        <v>0</v>
      </c>
      <c r="N166" s="8">
        <f>G166-(J166*L166)</f>
        <v>12</v>
      </c>
      <c r="O166" s="12"/>
      <c r="P166" s="8">
        <f>IF(N166&lt;0,N166*0,1)*N166</f>
        <v>12</v>
      </c>
      <c r="Q166" s="120">
        <f>VLOOKUP($H168,'Lookup Tables'!$A$22:$B$33,2,FALSE)+(K166*L166)</f>
        <v>3</v>
      </c>
      <c r="R166" s="121" t="str">
        <f>VLOOKUP(Q166,'Lookup Tables'!$A$38:$B$151,2,FALSE)</f>
        <v>Sept</v>
      </c>
      <c r="S166" s="36">
        <f>VLOOKUP(R166,'Lookup Tables'!$A$22:$B$33,2,FALSE)</f>
        <v>3</v>
      </c>
      <c r="T166" s="672">
        <f>VLOOKUP($E$4,'Lookup Tables'!$AQ$46:$BC$58,MATCH(PersonCalcYr1!$S166,'Lookup Tables'!$AQ$46:$BC$46),FALSE)</f>
        <v>10</v>
      </c>
      <c r="U166" s="19">
        <f>IF(P166&lt;T166,P166,T166)</f>
        <v>10</v>
      </c>
      <c r="V166" s="119">
        <f>IF((U166)&lt;=0,0,1)</f>
        <v>1</v>
      </c>
      <c r="W166" s="20">
        <f>(('Rate Tables'!$D94*$E166)*PersonCalcYr1!$U166)*$V166*$F166</f>
        <v>0</v>
      </c>
      <c r="X166" s="8">
        <f>P166-(U166*V166)</f>
        <v>2</v>
      </c>
      <c r="Y166" s="12"/>
      <c r="Z166" s="12"/>
      <c r="AA166" s="12"/>
      <c r="AB166" s="19">
        <f>X166</f>
        <v>2</v>
      </c>
      <c r="AC166" s="123">
        <f>AC148</f>
        <v>13</v>
      </c>
      <c r="AD166" s="121" t="str">
        <f>VLOOKUP(AC166,'Lookup Tables'!$A$38:$B$151,2,FALSE)</f>
        <v>July</v>
      </c>
      <c r="AE166" s="36">
        <f>VLOOKUP(AD166,'Lookup Tables'!$A$22:$B$33,2,FALSE)</f>
        <v>1</v>
      </c>
      <c r="AF166" s="87">
        <f>VLOOKUP($AE166,'Lookup Tables'!$AC$3:$AW$16,MATCH(PersonCalcYr1!$AB166,'Lookup Tables'!$AC$3:$AW$3),FALSE)</f>
        <v>2</v>
      </c>
      <c r="AG166" s="19">
        <f>IF(AB166&lt;AF166,AB166,AF166)</f>
        <v>2</v>
      </c>
      <c r="AH166" s="119">
        <f>IF((AG166)&lt;=0,0,1)</f>
        <v>1</v>
      </c>
      <c r="AI166" s="20">
        <f>(('Rate Tables'!$E94*$E166)*PersonCalcYr1!AG166)*AH166*$F166</f>
        <v>0</v>
      </c>
      <c r="AJ166" s="8">
        <f>AB166-(AG166*AH166)</f>
        <v>0</v>
      </c>
      <c r="AK166" s="12"/>
      <c r="AL166" s="12"/>
      <c r="AM166" s="20"/>
      <c r="AN166" s="12"/>
      <c r="AO166" s="311"/>
      <c r="AP166" s="350" t="s">
        <v>644</v>
      </c>
      <c r="AQ166" s="276" t="s">
        <v>136</v>
      </c>
      <c r="AR166" s="285">
        <f>(((O168+O169+AA168+AA169+AL168+AL169)*AM168)*AR167)*AP168</f>
        <v>0</v>
      </c>
      <c r="AS166" s="12" t="s">
        <v>418</v>
      </c>
    </row>
    <row r="167" spans="1:47" ht="13.5" customHeight="1" x14ac:dyDescent="0.25">
      <c r="A167" s="145"/>
      <c r="B167" s="12" t="s">
        <v>127</v>
      </c>
      <c r="C167" s="12"/>
      <c r="D167" s="12"/>
      <c r="E167" s="12"/>
      <c r="F167" s="12"/>
      <c r="G167" s="12"/>
      <c r="H167" s="12"/>
      <c r="I167" s="12"/>
      <c r="J167" s="12"/>
      <c r="K167" s="12"/>
      <c r="L167" s="13"/>
      <c r="M167" s="13" t="s">
        <v>129</v>
      </c>
      <c r="N167" s="13" t="s">
        <v>128</v>
      </c>
      <c r="O167" s="153" t="s">
        <v>130</v>
      </c>
      <c r="P167" s="12"/>
      <c r="Q167" s="12"/>
      <c r="R167" s="12"/>
      <c r="S167" s="12"/>
      <c r="T167" s="12"/>
      <c r="U167" s="12"/>
      <c r="V167" s="12"/>
      <c r="W167" s="12"/>
      <c r="X167" s="12"/>
      <c r="Y167" s="13" t="s">
        <v>129</v>
      </c>
      <c r="Z167" s="13" t="s">
        <v>128</v>
      </c>
      <c r="AA167" s="153" t="s">
        <v>130</v>
      </c>
      <c r="AB167" s="12"/>
      <c r="AC167" s="12"/>
      <c r="AD167" s="12"/>
      <c r="AE167" s="12"/>
      <c r="AF167" s="12"/>
      <c r="AG167" s="12"/>
      <c r="AH167" s="12"/>
      <c r="AI167" s="12"/>
      <c r="AJ167" s="13" t="s">
        <v>129</v>
      </c>
      <c r="AK167" s="13" t="s">
        <v>128</v>
      </c>
      <c r="AL167" s="153" t="s">
        <v>130</v>
      </c>
      <c r="AM167" s="13" t="s">
        <v>159</v>
      </c>
      <c r="AN167" s="12"/>
      <c r="AO167" s="227"/>
      <c r="AP167" s="358" t="str">
        <f>IF(AP162="50% Sum","no",Personnel!G70)</f>
        <v>No</v>
      </c>
      <c r="AQ167" s="227" t="s">
        <v>582</v>
      </c>
      <c r="AR167" s="663">
        <f>IF(AR162&gt;0,1,0)</f>
        <v>0</v>
      </c>
      <c r="AS167" s="372">
        <f>VLOOKUP('F&amp;ARatesCalc'!$B$1,'F&amp;ARatesCalc'!$A$3:$B$5,2,FALSE)</f>
        <v>0.56999999999999995</v>
      </c>
    </row>
    <row r="168" spans="1:47" ht="13.5" customHeight="1" x14ac:dyDescent="0.25">
      <c r="A168" s="145"/>
      <c r="B168" s="12"/>
      <c r="C168" s="12"/>
      <c r="D168" s="12"/>
      <c r="E168" s="12"/>
      <c r="F168" s="12"/>
      <c r="G168" s="178" t="s">
        <v>430</v>
      </c>
      <c r="H168" s="178" t="str">
        <f>IF(B170="yes",$C$4,A172)</f>
        <v>Sept</v>
      </c>
      <c r="I168" s="12"/>
      <c r="J168" s="12"/>
      <c r="K168" s="12"/>
      <c r="L168" s="12"/>
      <c r="M168" s="129">
        <f>'Rate Tables'!$P$17</f>
        <v>910</v>
      </c>
      <c r="N168" s="146">
        <f>(K164*L164)*F164</f>
        <v>0</v>
      </c>
      <c r="O168" s="125">
        <f>M168*N168</f>
        <v>0</v>
      </c>
      <c r="P168" s="12"/>
      <c r="Q168" s="12"/>
      <c r="R168" s="12"/>
      <c r="S168" s="12"/>
      <c r="T168" s="12"/>
      <c r="U168" s="12"/>
      <c r="V168" s="12"/>
      <c r="W168" s="12"/>
      <c r="X168" s="12"/>
      <c r="Y168" s="129">
        <f>'Rate Tables'!$P$18</f>
        <v>910</v>
      </c>
      <c r="Z168" s="146">
        <f>U164*V164*F164</f>
        <v>10</v>
      </c>
      <c r="AA168" s="125">
        <f>Y168*Z168</f>
        <v>9100</v>
      </c>
      <c r="AB168" s="12"/>
      <c r="AC168" s="12"/>
      <c r="AD168" s="12"/>
      <c r="AE168" s="12"/>
      <c r="AF168" s="12"/>
      <c r="AG168" s="12"/>
      <c r="AH168" s="12"/>
      <c r="AI168" s="12"/>
      <c r="AJ168" s="129">
        <f>'Rate Tables'!$P$19</f>
        <v>910</v>
      </c>
      <c r="AK168" s="146">
        <f>AG164*AH164*F164</f>
        <v>2</v>
      </c>
      <c r="AL168" s="125">
        <f>AJ168*AK168</f>
        <v>1820</v>
      </c>
      <c r="AM168" s="19">
        <f>VLOOKUP(B142,'Lookup Tables'!$AK$22:$AM$24,3,0)</f>
        <v>1</v>
      </c>
      <c r="AN168" s="12"/>
      <c r="AO168" s="307"/>
      <c r="AP168" s="349">
        <f>IF(AP167="yes",0.5,1)</f>
        <v>1</v>
      </c>
      <c r="AQ168" s="12"/>
      <c r="AR168" s="285"/>
      <c r="AS168" s="12" t="s">
        <v>417</v>
      </c>
    </row>
    <row r="169" spans="1:47" ht="13.5" customHeight="1" x14ac:dyDescent="0.25">
      <c r="A169" s="145"/>
      <c r="B169" s="12"/>
      <c r="C169" s="12"/>
      <c r="D169" s="12"/>
      <c r="E169" s="12"/>
      <c r="F169" s="12"/>
      <c r="G169" s="491" t="s">
        <v>555</v>
      </c>
      <c r="H169" s="175">
        <f>IF(H172&lt;$C$5, H172,$C$5)</f>
        <v>12</v>
      </c>
      <c r="I169" s="178">
        <f>IF(B172&lt;=H172,B172,H172)</f>
        <v>0</v>
      </c>
      <c r="J169" s="12"/>
      <c r="K169" s="12"/>
      <c r="L169" s="12"/>
      <c r="M169" s="129">
        <f>'Rate Tables'!$P$18</f>
        <v>910</v>
      </c>
      <c r="N169" s="146">
        <f>K166*L166*F166</f>
        <v>0</v>
      </c>
      <c r="O169" s="154">
        <f>M169*N169</f>
        <v>0</v>
      </c>
      <c r="P169" s="12"/>
      <c r="Q169" s="12"/>
      <c r="R169" s="12"/>
      <c r="S169" s="12"/>
      <c r="T169" s="12"/>
      <c r="U169" s="12"/>
      <c r="V169" s="12"/>
      <c r="W169" s="12"/>
      <c r="X169" s="12"/>
      <c r="Y169" s="129">
        <f>'Rate Tables'!$P$19</f>
        <v>910</v>
      </c>
      <c r="Z169" s="146">
        <f>U166*V166*F166</f>
        <v>0</v>
      </c>
      <c r="AA169" s="125">
        <f>Y169*Z169</f>
        <v>0</v>
      </c>
      <c r="AB169" s="12"/>
      <c r="AC169" s="12"/>
      <c r="AD169" s="12"/>
      <c r="AE169" s="12"/>
      <c r="AF169" s="12"/>
      <c r="AG169" s="12"/>
      <c r="AH169" s="12"/>
      <c r="AI169" s="12"/>
      <c r="AJ169" s="129">
        <f>'Rate Tables'!$P$20</f>
        <v>928.2</v>
      </c>
      <c r="AK169" s="146">
        <f>AG166*AH166*F166</f>
        <v>0</v>
      </c>
      <c r="AL169" s="125">
        <f>AJ169*AK169</f>
        <v>0</v>
      </c>
      <c r="AM169" s="12" t="s">
        <v>244</v>
      </c>
      <c r="AN169" s="12"/>
      <c r="AO169" s="307"/>
      <c r="AP169" s="12"/>
      <c r="AQ169" s="12"/>
      <c r="AR169" s="285"/>
      <c r="AS169" s="12">
        <f>(AR170+AR171)*AS167</f>
        <v>0</v>
      </c>
    </row>
    <row r="170" spans="1:47" ht="13.5" customHeight="1" x14ac:dyDescent="0.25">
      <c r="A170" s="377" t="s">
        <v>431</v>
      </c>
      <c r="B170" s="375" t="str">
        <f>Personnel!E66</f>
        <v>YES</v>
      </c>
      <c r="C170" s="12"/>
      <c r="D170" s="12"/>
      <c r="E170" s="12"/>
      <c r="F170" s="12"/>
      <c r="G170" s="491" t="s">
        <v>559</v>
      </c>
      <c r="H170" s="12">
        <f>AO155</f>
        <v>0</v>
      </c>
      <c r="I170" s="12"/>
      <c r="J170" s="12"/>
      <c r="K170" s="12"/>
      <c r="L170" s="12"/>
      <c r="M170" s="12"/>
      <c r="N170" s="12"/>
      <c r="O170" s="155"/>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f>IF(AR170&gt;=1,1,0)</f>
        <v>0</v>
      </c>
      <c r="AN170" s="12"/>
      <c r="AO170" s="227"/>
      <c r="AP170" s="226"/>
      <c r="AQ170" s="278" t="s">
        <v>96</v>
      </c>
      <c r="AR170" s="285">
        <f>AR144+AR153+AR162</f>
        <v>0</v>
      </c>
      <c r="AS170" s="15"/>
      <c r="AU170" s="313"/>
    </row>
    <row r="171" spans="1:47" ht="13.5" customHeight="1" thickBot="1" x14ac:dyDescent="0.3">
      <c r="A171" s="296" t="s">
        <v>439</v>
      </c>
      <c r="B171" s="114" t="s">
        <v>427</v>
      </c>
      <c r="C171" s="12"/>
      <c r="D171" s="12"/>
      <c r="E171" s="12"/>
      <c r="F171" s="12"/>
      <c r="G171" s="491" t="s">
        <v>560</v>
      </c>
      <c r="H171" s="178">
        <f>VLOOKUP(H164,'Lookup Tables'!$L$62:$Y$74,MATCH(G164,'Lookup Tables'!$L$62:$Y$62,FALSE))</f>
        <v>65</v>
      </c>
      <c r="I171" s="12"/>
      <c r="J171" s="12"/>
      <c r="K171" s="12"/>
      <c r="L171" s="12"/>
      <c r="M171" s="12"/>
      <c r="N171" s="12"/>
      <c r="O171" s="155"/>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227"/>
      <c r="AP171" s="224"/>
      <c r="AQ171" s="278" t="s">
        <v>415</v>
      </c>
      <c r="AR171" s="285">
        <f>AR146+AR154+AR164</f>
        <v>0</v>
      </c>
      <c r="AS171" s="15"/>
      <c r="AU171" s="313"/>
    </row>
    <row r="172" spans="1:47" ht="13.5" customHeight="1" thickBot="1" x14ac:dyDescent="0.3">
      <c r="A172" s="380">
        <f>Personnel!E67</f>
        <v>0</v>
      </c>
      <c r="B172" s="273">
        <f>Personnel!E68</f>
        <v>0</v>
      </c>
      <c r="C172" s="12"/>
      <c r="D172" s="12"/>
      <c r="E172" s="12"/>
      <c r="F172" s="12"/>
      <c r="G172" s="12"/>
      <c r="H172" s="175">
        <f>VLOOKUP($E$4,'Lookup Tables'!$L$46:$AA$58,MATCH($H$146,'Lookup Tables'!$L$46:$X$46),FALSE)</f>
        <v>12</v>
      </c>
      <c r="I172" s="12"/>
      <c r="J172" s="12"/>
      <c r="K172" s="12"/>
      <c r="L172" s="12"/>
      <c r="M172" s="12"/>
      <c r="N172" s="12"/>
      <c r="O172" s="155"/>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227"/>
      <c r="AP172" s="224"/>
      <c r="AQ172" s="278" t="s">
        <v>185</v>
      </c>
      <c r="AR172" s="285">
        <f>(AR148+AR156+AR166)*AM170</f>
        <v>0</v>
      </c>
      <c r="AS172" s="373">
        <f>AR170+AR171+AR172+AS169</f>
        <v>0</v>
      </c>
      <c r="AU172" s="313"/>
    </row>
    <row r="173" spans="1:47" ht="6.75" customHeight="1" thickBot="1" x14ac:dyDescent="0.3">
      <c r="A173" s="148"/>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c r="AO173" s="280"/>
      <c r="AP173" s="149"/>
      <c r="AQ173" s="149"/>
      <c r="AR173" s="281"/>
      <c r="AS173" s="374"/>
    </row>
    <row r="174" spans="1:47" ht="13.5" customHeight="1" x14ac:dyDescent="0.25">
      <c r="A174" s="257" t="s">
        <v>195</v>
      </c>
      <c r="B174" s="359" t="str">
        <f>Personnel!C74</f>
        <v>12 Month</v>
      </c>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282"/>
      <c r="AP174" s="144"/>
      <c r="AQ174" s="144"/>
      <c r="AR174" s="283"/>
      <c r="AS174" s="12"/>
    </row>
    <row r="175" spans="1:47" ht="13.5" customHeight="1" x14ac:dyDescent="0.25">
      <c r="A175" s="258" t="s">
        <v>174</v>
      </c>
      <c r="B175" s="155" t="s">
        <v>12</v>
      </c>
      <c r="C175" s="259" t="s">
        <v>605</v>
      </c>
      <c r="D175" s="12"/>
      <c r="E175" s="12"/>
      <c r="F175" s="12"/>
      <c r="G175" s="12" t="s">
        <v>182</v>
      </c>
      <c r="H175" s="12"/>
      <c r="I175" s="12"/>
      <c r="J175" s="12"/>
      <c r="K175" s="12"/>
      <c r="L175" s="12"/>
      <c r="M175" s="12" t="s">
        <v>167</v>
      </c>
      <c r="N175" s="12"/>
      <c r="O175" s="12">
        <v>21</v>
      </c>
      <c r="P175" s="12"/>
      <c r="Q175" s="12"/>
      <c r="R175" s="12"/>
      <c r="S175" s="12"/>
      <c r="T175" s="12"/>
      <c r="U175" s="12"/>
      <c r="V175" s="12"/>
      <c r="W175" s="12"/>
      <c r="X175" s="12"/>
      <c r="Y175" s="12" t="s">
        <v>168</v>
      </c>
      <c r="Z175" s="12"/>
      <c r="AA175" s="12">
        <v>22</v>
      </c>
      <c r="AB175" s="12"/>
      <c r="AC175" s="12"/>
      <c r="AD175" s="12"/>
      <c r="AE175" s="12"/>
      <c r="AF175" s="12"/>
      <c r="AG175" s="12"/>
      <c r="AH175" s="12"/>
      <c r="AI175" s="12"/>
      <c r="AJ175" s="12" t="s">
        <v>169</v>
      </c>
      <c r="AK175" s="12"/>
      <c r="AL175" s="12">
        <v>23</v>
      </c>
      <c r="AM175" s="12"/>
      <c r="AN175" s="12"/>
      <c r="AO175" s="227"/>
      <c r="AP175" s="12"/>
      <c r="AQ175" s="12"/>
      <c r="AR175" s="275"/>
      <c r="AS175" s="12"/>
    </row>
    <row r="176" spans="1:47" ht="13.5" customHeight="1" x14ac:dyDescent="0.25">
      <c r="A176" s="356">
        <f>Personnel!C75</f>
        <v>0</v>
      </c>
      <c r="B176" s="357">
        <f>Personnel!C76</f>
        <v>0</v>
      </c>
      <c r="C176" s="115">
        <f>(B176*9)*2</f>
        <v>0</v>
      </c>
      <c r="D176" s="12"/>
      <c r="E176" s="12"/>
      <c r="F176" s="12"/>
      <c r="G176" s="12"/>
      <c r="H176" s="12"/>
      <c r="I176" s="12"/>
      <c r="J176" s="12"/>
      <c r="K176" s="12"/>
      <c r="L176" s="12"/>
      <c r="M176" s="12"/>
      <c r="N176" s="12"/>
      <c r="O176" s="12">
        <v>22</v>
      </c>
      <c r="P176" s="12"/>
      <c r="Q176" s="12"/>
      <c r="R176" s="12"/>
      <c r="S176" s="12"/>
      <c r="T176" s="12"/>
      <c r="U176" s="12"/>
      <c r="V176" s="12"/>
      <c r="W176" s="12"/>
      <c r="X176" s="12"/>
      <c r="Y176" s="12"/>
      <c r="Z176" s="12"/>
      <c r="AA176" s="12">
        <v>23</v>
      </c>
      <c r="AB176" s="12"/>
      <c r="AC176" s="12"/>
      <c r="AD176" s="12"/>
      <c r="AE176" s="12"/>
      <c r="AF176" s="12"/>
      <c r="AG176" s="12"/>
      <c r="AH176" s="12"/>
      <c r="AI176" s="12"/>
      <c r="AJ176" s="12"/>
      <c r="AK176" s="12"/>
      <c r="AL176" s="12">
        <v>24</v>
      </c>
      <c r="AM176" s="12"/>
      <c r="AN176" s="12"/>
      <c r="AO176" s="306" t="s">
        <v>412</v>
      </c>
      <c r="AP176" s="348">
        <f>Personnel!G75</f>
        <v>0</v>
      </c>
      <c r="AQ176" s="276" t="s">
        <v>414</v>
      </c>
      <c r="AR176" s="285">
        <f>(N178+Z178+AK178+N180+Z180+AK180)*AM178</f>
        <v>0</v>
      </c>
      <c r="AS176" s="15"/>
    </row>
    <row r="177" spans="1:46" ht="13.5" customHeight="1" x14ac:dyDescent="0.25">
      <c r="A177" s="145"/>
      <c r="B177" s="12"/>
      <c r="C177" s="117" t="s">
        <v>30</v>
      </c>
      <c r="D177" s="12"/>
      <c r="E177" s="13" t="s">
        <v>16</v>
      </c>
      <c r="F177" s="13" t="s">
        <v>42</v>
      </c>
      <c r="G177" s="13" t="s">
        <v>41</v>
      </c>
      <c r="H177" s="65" t="s">
        <v>77</v>
      </c>
      <c r="I177" s="64" t="s">
        <v>90</v>
      </c>
      <c r="J177" s="63" t="s">
        <v>70</v>
      </c>
      <c r="K177" s="52" t="s">
        <v>93</v>
      </c>
      <c r="L177" s="13" t="s">
        <v>35</v>
      </c>
      <c r="M177" s="13" t="s">
        <v>82</v>
      </c>
      <c r="N177" s="13" t="s">
        <v>31</v>
      </c>
      <c r="O177" s="14" t="s">
        <v>69</v>
      </c>
      <c r="P177" s="13" t="s">
        <v>72</v>
      </c>
      <c r="Q177" s="65" t="s">
        <v>80</v>
      </c>
      <c r="R177" s="62" t="s">
        <v>81</v>
      </c>
      <c r="S177" s="65" t="s">
        <v>77</v>
      </c>
      <c r="T177" s="600" t="s">
        <v>83</v>
      </c>
      <c r="U177" s="63" t="s">
        <v>70</v>
      </c>
      <c r="V177" s="13" t="s">
        <v>91</v>
      </c>
      <c r="W177" s="13" t="s">
        <v>43</v>
      </c>
      <c r="X177" s="13" t="s">
        <v>53</v>
      </c>
      <c r="Y177" s="13" t="s">
        <v>68</v>
      </c>
      <c r="Z177" s="13" t="s">
        <v>32</v>
      </c>
      <c r="AA177" s="14" t="s">
        <v>69</v>
      </c>
      <c r="AB177" s="13" t="s">
        <v>72</v>
      </c>
      <c r="AC177" s="13" t="s">
        <v>80</v>
      </c>
      <c r="AD177" s="62" t="s">
        <v>81</v>
      </c>
      <c r="AE177" s="65" t="s">
        <v>77</v>
      </c>
      <c r="AF177" s="63" t="s">
        <v>70</v>
      </c>
      <c r="AG177" s="13" t="s">
        <v>92</v>
      </c>
      <c r="AH177" s="13" t="s">
        <v>44</v>
      </c>
      <c r="AI177" s="13" t="s">
        <v>78</v>
      </c>
      <c r="AJ177" s="13" t="s">
        <v>68</v>
      </c>
      <c r="AK177" s="13" t="s">
        <v>33</v>
      </c>
      <c r="AL177" s="14" t="s">
        <v>69</v>
      </c>
      <c r="AM177" s="13" t="s">
        <v>159</v>
      </c>
      <c r="AN177" s="12"/>
      <c r="AO177" s="227"/>
      <c r="AP177" s="349"/>
      <c r="AQ177" s="227"/>
      <c r="AR177" s="285"/>
      <c r="AS177" s="15"/>
    </row>
    <row r="178" spans="1:46" ht="13.5" customHeight="1" x14ac:dyDescent="0.25">
      <c r="A178" s="145"/>
      <c r="B178" s="12"/>
      <c r="C178" s="115"/>
      <c r="D178" s="12"/>
      <c r="E178" s="118">
        <f>AP176</f>
        <v>0</v>
      </c>
      <c r="F178" s="19">
        <f>IF($D$4=2022,1,0)</f>
        <v>1</v>
      </c>
      <c r="G178" s="178">
        <f>IF($B202="Yes",$C$5,$I201)</f>
        <v>12</v>
      </c>
      <c r="H178" s="36">
        <f>VLOOKUP(H200,'Lookup Tables'!$A$22:$B$33,2,FALSE)</f>
        <v>3</v>
      </c>
      <c r="I178" s="192">
        <f>VLOOKUP($E$4,'Lookup Tables'!$AB$46:$AN$58,MATCH($H178,'Lookup Tables'!$AB$46:$AN$46),FALSE)</f>
        <v>12</v>
      </c>
      <c r="J178" s="33">
        <f>VLOOKUP(H178,'Lookup Tables'!$A$3:$AA$16,MATCH(PersonCalcYr1!$G178,'Lookup Tables'!$A$3:$AA$3),FALSE)</f>
        <v>1.5161</v>
      </c>
      <c r="K178" s="54">
        <f>VLOOKUP($H200,'Lookup Tables'!$K$23:$L$34,2,FALSE)</f>
        <v>0</v>
      </c>
      <c r="L178" s="12">
        <f>IF(G178&lt;=K178,G178,K178)</f>
        <v>0</v>
      </c>
      <c r="M178" s="195">
        <f>IF(12-I178&gt;=1,1,0)</f>
        <v>0</v>
      </c>
      <c r="N178" s="15">
        <f>(('Rate Tables'!B77*PersonCalcYr1!E178)*PersonCalcYr1!L178)*PersonCalcYr1!F178*M178</f>
        <v>0</v>
      </c>
      <c r="O178" s="28">
        <f>G178-((J178+L178)*M178)</f>
        <v>12</v>
      </c>
      <c r="P178" s="8">
        <f>IF(O178&lt;0,O178*0,1)*O178</f>
        <v>12</v>
      </c>
      <c r="Q178" s="120">
        <f>VLOOKUP($H200,'Lookup Tables'!$A$22:$B$33,2,FALSE)+(L178*M178)+(J178*M178)</f>
        <v>3</v>
      </c>
      <c r="R178" s="121" t="str">
        <f>VLOOKUP(Q178,'Lookup Tables'!$A$38:$B$151,2,FALSE)</f>
        <v>Sept</v>
      </c>
      <c r="S178" s="36">
        <f>VLOOKUP(R178,'Lookup Tables'!$A$22:$B$33,2,FALSE)</f>
        <v>3</v>
      </c>
      <c r="T178" s="599">
        <f>VLOOKUP($E$4,'Lookup Tables'!$AB$63:$AN$75,MATCH(PersonCalcYr1!$S178,'Lookup Tables'!$AB$63:$AN$63),FALSE)</f>
        <v>0.5161</v>
      </c>
      <c r="U178" s="34">
        <f>VLOOKUP(S178,'Lookup Tables'!$A$3:$AA$16,MATCH(PersonCalcYr1!$P178,'Lookup Tables'!$A$3:$AA$3),FALSE)</f>
        <v>1.5161</v>
      </c>
      <c r="V178" s="12">
        <f>9-T178</f>
        <v>8.4839000000000002</v>
      </c>
      <c r="W178" s="122">
        <f>P178-U178</f>
        <v>10.4839</v>
      </c>
      <c r="X178" s="119">
        <f>IF(V178&lt;=W178,V178,W178)</f>
        <v>8.4839000000000002</v>
      </c>
      <c r="Y178" s="195">
        <f>IF(12-T178-U178-X178&gt;=0,1,0)</f>
        <v>1</v>
      </c>
      <c r="Z178" s="20">
        <f>((('Rate Tables'!C77*$E178)*PersonCalcYr1!$X178)*$F178)*Y178</f>
        <v>0</v>
      </c>
      <c r="AA178" s="197">
        <f>O178-(((U178*U182)+X178)*Y178)</f>
        <v>2</v>
      </c>
      <c r="AB178" s="8">
        <f>IF(AA178&lt;0,AA178*0,1)*AA178</f>
        <v>2</v>
      </c>
      <c r="AC178" s="601">
        <f>S178+(X178*Y178)+((U178*U182)*Y178)</f>
        <v>13</v>
      </c>
      <c r="AD178" s="121" t="str">
        <f>VLOOKUP(AC178,'Lookup Tables'!$A$38:$B$151,2,FALSE)</f>
        <v>July</v>
      </c>
      <c r="AE178" s="36">
        <f>VLOOKUP(AD178,'Lookup Tables'!$A$22:$B$33,2,FALSE)</f>
        <v>1</v>
      </c>
      <c r="AF178" s="34">
        <f>VLOOKUP(AE178,'Lookup Tables'!$A$3:$AA$16,MATCH(PersonCalcYr1!AB178,'Lookup Tables'!$A$3:$AA$3),FALSE)</f>
        <v>1.4839</v>
      </c>
      <c r="AG178" s="12">
        <v>9</v>
      </c>
      <c r="AH178" s="122">
        <f>AB178-AF178</f>
        <v>0.5161</v>
      </c>
      <c r="AI178" s="119">
        <f>IF(AG178&lt;=AH178,AG178,AH178)</f>
        <v>0.5161</v>
      </c>
      <c r="AJ178" s="119">
        <f>IF((AG178+AF178)&lt;=0,0,1)</f>
        <v>1</v>
      </c>
      <c r="AK178" s="124">
        <f>((('Rate Tables'!D77*$E178)*PersonCalcYr1!AI178)*$F178)*AJ178</f>
        <v>0</v>
      </c>
      <c r="AL178" s="28">
        <f>AB178-AF178-AI178</f>
        <v>0</v>
      </c>
      <c r="AM178" s="19">
        <f>VLOOKUP(B174,'Lookup Tables'!$AK$22:$AM$24,2,0)</f>
        <v>0</v>
      </c>
      <c r="AN178" s="12"/>
      <c r="AO178" s="227"/>
      <c r="AP178" s="350"/>
      <c r="AQ178" s="276" t="s">
        <v>184</v>
      </c>
      <c r="AR178" s="285">
        <f>AR176*'Rate Tables'!P$8</f>
        <v>0</v>
      </c>
      <c r="AS178" s="15"/>
    </row>
    <row r="179" spans="1:46" ht="13.5" customHeight="1" x14ac:dyDescent="0.25">
      <c r="A179" s="145"/>
      <c r="B179" s="12"/>
      <c r="C179" s="117" t="s">
        <v>597</v>
      </c>
      <c r="D179" s="12"/>
      <c r="E179" s="13" t="s">
        <v>16</v>
      </c>
      <c r="F179" s="13" t="s">
        <v>42</v>
      </c>
      <c r="G179" s="13" t="s">
        <v>41</v>
      </c>
      <c r="H179" s="65" t="s">
        <v>77</v>
      </c>
      <c r="I179" s="64" t="s">
        <v>90</v>
      </c>
      <c r="J179" s="63" t="s">
        <v>70</v>
      </c>
      <c r="K179" s="52" t="s">
        <v>109</v>
      </c>
      <c r="L179" s="13" t="s">
        <v>53</v>
      </c>
      <c r="M179" s="13" t="s">
        <v>82</v>
      </c>
      <c r="N179" s="13" t="s">
        <v>32</v>
      </c>
      <c r="O179" s="14" t="s">
        <v>69</v>
      </c>
      <c r="P179" s="13" t="s">
        <v>72</v>
      </c>
      <c r="Q179" s="65" t="s">
        <v>80</v>
      </c>
      <c r="R179" s="62" t="s">
        <v>81</v>
      </c>
      <c r="S179" s="65" t="s">
        <v>77</v>
      </c>
      <c r="T179" s="600" t="s">
        <v>83</v>
      </c>
      <c r="U179" s="63" t="s">
        <v>70</v>
      </c>
      <c r="V179" s="13" t="s">
        <v>92</v>
      </c>
      <c r="W179" s="13" t="s">
        <v>44</v>
      </c>
      <c r="X179" s="13" t="s">
        <v>78</v>
      </c>
      <c r="Y179" s="13" t="s">
        <v>68</v>
      </c>
      <c r="Z179" s="13" t="s">
        <v>33</v>
      </c>
      <c r="AA179" s="14" t="s">
        <v>69</v>
      </c>
      <c r="AB179" s="13" t="s">
        <v>72</v>
      </c>
      <c r="AC179" s="13" t="s">
        <v>80</v>
      </c>
      <c r="AD179" s="62" t="s">
        <v>81</v>
      </c>
      <c r="AE179" s="65" t="s">
        <v>77</v>
      </c>
      <c r="AF179" s="63" t="s">
        <v>70</v>
      </c>
      <c r="AG179" s="13" t="s">
        <v>94</v>
      </c>
      <c r="AH179" s="13" t="s">
        <v>45</v>
      </c>
      <c r="AI179" s="13" t="s">
        <v>79</v>
      </c>
      <c r="AJ179" s="13" t="s">
        <v>68</v>
      </c>
      <c r="AK179" s="13" t="s">
        <v>34</v>
      </c>
      <c r="AL179" s="14" t="s">
        <v>69</v>
      </c>
      <c r="AM179" s="13"/>
      <c r="AN179" s="12"/>
      <c r="AO179" s="227"/>
      <c r="AP179" s="351"/>
      <c r="AQ179" s="227"/>
      <c r="AR179" s="285"/>
      <c r="AS179" s="15"/>
    </row>
    <row r="180" spans="1:46" ht="13.5" customHeight="1" x14ac:dyDescent="0.25">
      <c r="A180" s="145"/>
      <c r="B180" s="12"/>
      <c r="C180" s="115"/>
      <c r="D180" s="12"/>
      <c r="E180" s="118">
        <f>AP176</f>
        <v>0</v>
      </c>
      <c r="F180" s="19">
        <f>IF($D$4=2023,1,0)</f>
        <v>0</v>
      </c>
      <c r="G180" s="178">
        <f>IF($B202="Yes",$C$5,$I201)</f>
        <v>12</v>
      </c>
      <c r="H180" s="36">
        <f>VLOOKUP(H200,'Lookup Tables'!$A$22:$B$33,2,FALSE)</f>
        <v>3</v>
      </c>
      <c r="I180" s="192">
        <f>VLOOKUP($E$4,'Lookup Tables'!$AB$46:$AN$58,MATCH($H180,'Lookup Tables'!$AB$46:$AN$46),FALSE)</f>
        <v>12</v>
      </c>
      <c r="J180" s="33">
        <f>VLOOKUP(H180,'Lookup Tables'!$A$3:$AA$16,MATCH(PersonCalcYr1!$G180,'Lookup Tables'!$A$3:$AA$3),FALSE)</f>
        <v>1.5161</v>
      </c>
      <c r="K180" s="54">
        <f>VLOOKUP($H200,'Lookup Tables'!$K$23:$L$34,2,FALSE)</f>
        <v>0</v>
      </c>
      <c r="L180" s="12">
        <f>IF(G180&lt;=K180,G180,K180)</f>
        <v>0</v>
      </c>
      <c r="M180" s="195">
        <f>IF(12-I180&gt;=1,1,0)</f>
        <v>0</v>
      </c>
      <c r="N180" s="15">
        <f>(('Rate Tables'!C77*PersonCalcYr1!E180)*PersonCalcYr1!L180)*PersonCalcYr1!F180*M180</f>
        <v>0</v>
      </c>
      <c r="O180" s="28">
        <f>G180-((J180+L180)*M180)</f>
        <v>12</v>
      </c>
      <c r="P180" s="8">
        <f>IF(O180&lt;0,O180*0,1)*O180</f>
        <v>12</v>
      </c>
      <c r="Q180" s="120">
        <f>VLOOKUP($H200,'Lookup Tables'!$A$22:$B$33,2,FALSE)+(L180*M180)+(J180*M180)</f>
        <v>3</v>
      </c>
      <c r="R180" s="121" t="str">
        <f>VLOOKUP(Q180,'Lookup Tables'!$A$38:$B$151,2,FALSE)</f>
        <v>Sept</v>
      </c>
      <c r="S180" s="36">
        <f>VLOOKUP(R180,'Lookup Tables'!$A$22:$B$33,2,FALSE)</f>
        <v>3</v>
      </c>
      <c r="T180" s="599">
        <f>VLOOKUP($E$4,'Lookup Tables'!$AB$63:$AN$75,MATCH(PersonCalcYr1!$S180,'Lookup Tables'!$AB$63:$AN$63),FALSE)</f>
        <v>0.5161</v>
      </c>
      <c r="U180" s="34">
        <f>VLOOKUP(S180,'Lookup Tables'!$A$3:$AA$16,MATCH(PersonCalcYr1!$P180,'Lookup Tables'!$A$3:$AA$3),FALSE)</f>
        <v>1.5161</v>
      </c>
      <c r="V180" s="12">
        <f>9-T180</f>
        <v>8.4839000000000002</v>
      </c>
      <c r="W180" s="122">
        <f>P180-U180</f>
        <v>10.4839</v>
      </c>
      <c r="X180" s="119">
        <f>IF(V180&lt;=W180,V180,W180)</f>
        <v>8.4839000000000002</v>
      </c>
      <c r="Y180" s="195">
        <f>IF(12-T180-U180-X180&gt;=0,1,0)</f>
        <v>1</v>
      </c>
      <c r="Z180" s="20">
        <f>((('Rate Tables'!D77*$E180)*PersonCalcYr1!$X180)*$F180)*Y180</f>
        <v>0</v>
      </c>
      <c r="AA180" s="197">
        <f>O180-(((U180*U182)+X180)*Y180)</f>
        <v>2</v>
      </c>
      <c r="AB180" s="8">
        <f>IF(AA180&lt;0,AA180*0,1)*AA180</f>
        <v>2</v>
      </c>
      <c r="AC180" s="601">
        <f>S180+(X180*Y180)+((U180*U182)*Y180)</f>
        <v>13</v>
      </c>
      <c r="AD180" s="121" t="str">
        <f>VLOOKUP(AC180,'Lookup Tables'!$A$38:$B$151,2,FALSE)</f>
        <v>July</v>
      </c>
      <c r="AE180" s="36">
        <f>VLOOKUP(AD180,'Lookup Tables'!$A$22:$B$33,2,FALSE)</f>
        <v>1</v>
      </c>
      <c r="AF180" s="34">
        <f>VLOOKUP(AE180,'Lookup Tables'!$A$3:$AA$16,MATCH(PersonCalcYr1!AB180,'Lookup Tables'!$A$3:$AA$3),FALSE)</f>
        <v>1.4839</v>
      </c>
      <c r="AG180" s="12">
        <v>9</v>
      </c>
      <c r="AH180" s="122">
        <f>AB180-AF180</f>
        <v>0.5161</v>
      </c>
      <c r="AI180" s="119">
        <f>IF(AG180&lt;=AH180,AG180,AH180)</f>
        <v>0.5161</v>
      </c>
      <c r="AJ180" s="119">
        <f>IF((AG180+AF180)&lt;=0,0,1)</f>
        <v>1</v>
      </c>
      <c r="AK180" s="124">
        <f>((('Rate Tables'!E77*$E180)*PersonCalcYr1!AI180)*$F180)*AJ180</f>
        <v>0</v>
      </c>
      <c r="AL180" s="28">
        <f>AB180-AF180-AI180</f>
        <v>0</v>
      </c>
      <c r="AM180" s="19"/>
      <c r="AN180" s="12"/>
      <c r="AO180" s="1199" t="s">
        <v>580</v>
      </c>
      <c r="AP180" s="349" t="s">
        <v>643</v>
      </c>
      <c r="AQ180" s="276" t="s">
        <v>134</v>
      </c>
      <c r="AR180" s="285">
        <f>(((O182+O183+AA182+AA183+AL182+AL183)*AM182)*AR181)*AP183</f>
        <v>0</v>
      </c>
      <c r="AS180" s="15"/>
    </row>
    <row r="181" spans="1:46" ht="13.5" customHeight="1" x14ac:dyDescent="0.25">
      <c r="A181" s="145"/>
      <c r="B181" s="12"/>
      <c r="C181" s="115"/>
      <c r="D181" s="12"/>
      <c r="E181" s="118"/>
      <c r="F181" s="19"/>
      <c r="G181" s="12"/>
      <c r="H181" s="12"/>
      <c r="I181" s="141"/>
      <c r="J181" s="228" t="s">
        <v>183</v>
      </c>
      <c r="K181" s="13" t="s">
        <v>181</v>
      </c>
      <c r="L181" s="13" t="s">
        <v>179</v>
      </c>
      <c r="M181" s="13" t="s">
        <v>180</v>
      </c>
      <c r="N181" s="660" t="s">
        <v>128</v>
      </c>
      <c r="O181" s="135" t="s">
        <v>130</v>
      </c>
      <c r="P181" s="8"/>
      <c r="Q181" s="123"/>
      <c r="R181" s="12"/>
      <c r="S181" s="12"/>
      <c r="T181" s="12"/>
      <c r="U181" s="12"/>
      <c r="V181" s="228" t="s">
        <v>183</v>
      </c>
      <c r="W181" s="13" t="s">
        <v>181</v>
      </c>
      <c r="X181" s="13" t="s">
        <v>179</v>
      </c>
      <c r="Y181" s="13" t="s">
        <v>180</v>
      </c>
      <c r="Z181" s="13" t="s">
        <v>128</v>
      </c>
      <c r="AA181" s="135" t="s">
        <v>130</v>
      </c>
      <c r="AB181" s="8"/>
      <c r="AC181" s="123"/>
      <c r="AD181" s="12"/>
      <c r="AE181" s="12"/>
      <c r="AF181" s="12"/>
      <c r="AG181" s="228" t="s">
        <v>183</v>
      </c>
      <c r="AH181" s="13" t="s">
        <v>181</v>
      </c>
      <c r="AI181" s="13" t="s">
        <v>179</v>
      </c>
      <c r="AJ181" s="13" t="s">
        <v>180</v>
      </c>
      <c r="AK181" s="52" t="s">
        <v>128</v>
      </c>
      <c r="AL181" s="135" t="s">
        <v>130</v>
      </c>
      <c r="AM181" s="13" t="s">
        <v>159</v>
      </c>
      <c r="AN181" s="12"/>
      <c r="AO181" s="1199"/>
      <c r="AP181" s="350" t="s">
        <v>644</v>
      </c>
      <c r="AQ181" s="227" t="s">
        <v>582</v>
      </c>
      <c r="AR181" s="663">
        <f>IF(AR176&gt;0,1,0)</f>
        <v>0</v>
      </c>
      <c r="AS181" s="15"/>
    </row>
    <row r="182" spans="1:46" ht="13.5" customHeight="1" x14ac:dyDescent="0.25">
      <c r="A182" s="145"/>
      <c r="B182" s="227"/>
      <c r="C182" s="115"/>
      <c r="D182" s="12"/>
      <c r="E182" s="118"/>
      <c r="F182" s="19"/>
      <c r="G182" s="12"/>
      <c r="H182" s="12"/>
      <c r="I182" s="141"/>
      <c r="J182" s="141">
        <f>IF($AO187&gt;0,1,0)</f>
        <v>0</v>
      </c>
      <c r="K182" s="12">
        <f>IF($AO187=0,1,0)</f>
        <v>1</v>
      </c>
      <c r="L182" s="129">
        <f>'Rate Tables'!$P$17</f>
        <v>910</v>
      </c>
      <c r="M182" s="129">
        <f>'Rate Tables'!$Q$17</f>
        <v>933.34</v>
      </c>
      <c r="N182" s="661">
        <f>ROUNDUP(N184,0)</f>
        <v>0</v>
      </c>
      <c r="O182" s="136">
        <f>((J182*L182)+(K182*M182))*N182</f>
        <v>0</v>
      </c>
      <c r="P182" s="8"/>
      <c r="Q182" s="123"/>
      <c r="R182" s="12"/>
      <c r="S182" s="12"/>
      <c r="T182" s="605" t="s">
        <v>573</v>
      </c>
      <c r="U182" s="606">
        <f>VLOOKUP($E$4,'Lookup Tables'!$L$79:$X$91,MATCH(PersonCalcYr1!$S178,'Lookup Tables'!$L$79:$X$79),FALSE)</f>
        <v>1</v>
      </c>
      <c r="V182" s="141">
        <f>IF($AO187&gt;0,1,0)</f>
        <v>0</v>
      </c>
      <c r="W182" s="12">
        <f>IF($AO187=0,1,0)</f>
        <v>1</v>
      </c>
      <c r="X182" s="129">
        <f>'Rate Tables'!$P$18</f>
        <v>910</v>
      </c>
      <c r="Y182" s="129">
        <f>'Rate Tables'!$Q$18</f>
        <v>933.34</v>
      </c>
      <c r="Z182" s="657">
        <f>IF(Y184&lt;=AA185,Y184,AA185)</f>
        <v>9</v>
      </c>
      <c r="AA182" s="136">
        <f>((V182*X182)+(W182*Y182))*Z182</f>
        <v>8400.06</v>
      </c>
      <c r="AB182" s="8"/>
      <c r="AC182" s="123"/>
      <c r="AD182" s="12"/>
      <c r="AE182" s="12"/>
      <c r="AF182" s="12"/>
      <c r="AG182" s="141">
        <f>IF($AO187&gt;0,1,0)</f>
        <v>0</v>
      </c>
      <c r="AH182" s="12">
        <f>IF($AO187=0,1,0)</f>
        <v>1</v>
      </c>
      <c r="AI182" s="129">
        <f>'Rate Tables'!$P$19</f>
        <v>910</v>
      </c>
      <c r="AJ182" s="129">
        <f>'Rate Tables'!$Q$19</f>
        <v>933.34</v>
      </c>
      <c r="AK182" s="657">
        <f>IF(AJ184&lt;=AL184,AJ184,AL184)</f>
        <v>0</v>
      </c>
      <c r="AL182" s="136">
        <f>((AG182*AI182)+(AH182*AJ182))*AK182</f>
        <v>0</v>
      </c>
      <c r="AM182" s="19">
        <f>VLOOKUP(B174,'Lookup Tables'!$AK$22:$AM$24,2,0)</f>
        <v>0</v>
      </c>
      <c r="AN182" s="12"/>
      <c r="AO182" s="307">
        <f>N184+N185+Z185+Z186+AK184+AK185</f>
        <v>9</v>
      </c>
      <c r="AP182" s="358" t="str">
        <f>IF(AP176=50%,"no",Personnel!G78)</f>
        <v>No</v>
      </c>
      <c r="AQ182" s="12"/>
      <c r="AR182" s="285"/>
      <c r="AS182" s="15"/>
    </row>
    <row r="183" spans="1:46" ht="13.5" customHeight="1" x14ac:dyDescent="0.25">
      <c r="A183" s="145"/>
      <c r="B183" s="12"/>
      <c r="C183" s="115"/>
      <c r="D183" s="12"/>
      <c r="E183" s="126"/>
      <c r="F183" s="19"/>
      <c r="G183" s="12"/>
      <c r="H183" s="12"/>
      <c r="I183" s="12"/>
      <c r="J183" s="141">
        <f>IF($AO187&gt;0,1,0)</f>
        <v>0</v>
      </c>
      <c r="K183" s="12">
        <f>IF($AO187=0,1,0)</f>
        <v>1</v>
      </c>
      <c r="L183" s="129">
        <f>'Rate Tables'!$P$18</f>
        <v>910</v>
      </c>
      <c r="M183" s="129">
        <f>'Rate Tables'!$Q$18</f>
        <v>933.34</v>
      </c>
      <c r="N183" s="661">
        <f>ROUNDUP(N185,0)</f>
        <v>0</v>
      </c>
      <c r="O183" s="136">
        <f>((J183*L183)+(K183*M183))*N183</f>
        <v>0</v>
      </c>
      <c r="P183" s="19"/>
      <c r="Q183" s="19"/>
      <c r="R183" s="19"/>
      <c r="S183" s="19"/>
      <c r="T183" s="19"/>
      <c r="U183" s="12"/>
      <c r="V183" s="141">
        <f>IF($AO187&gt;0,1,0)</f>
        <v>0</v>
      </c>
      <c r="W183" s="12">
        <f>IF($AO187=0,1,0)</f>
        <v>1</v>
      </c>
      <c r="X183" s="129">
        <f>'Rate Tables'!$P$19</f>
        <v>910</v>
      </c>
      <c r="Y183" s="129">
        <f>'Rate Tables'!$Q$19</f>
        <v>933.34</v>
      </c>
      <c r="Z183" s="657">
        <f>IF(Y184&lt;=AA186,Y184,AA186)</f>
        <v>0</v>
      </c>
      <c r="AA183" s="136">
        <f>((V183*X183)+(W183*Y183))*Z183</f>
        <v>0</v>
      </c>
      <c r="AB183" s="20"/>
      <c r="AC183" s="20"/>
      <c r="AD183" s="20"/>
      <c r="AE183" s="20"/>
      <c r="AF183" s="123"/>
      <c r="AG183" s="141">
        <f>IF($AO187&gt;0,1,0)</f>
        <v>0</v>
      </c>
      <c r="AH183" s="12">
        <f>IF($AO187=0,1,0)</f>
        <v>1</v>
      </c>
      <c r="AI183" s="129">
        <f>'Rate Tables'!$P$20</f>
        <v>928.2</v>
      </c>
      <c r="AJ183" s="129">
        <f>'Rate Tables'!$Q$20</f>
        <v>952</v>
      </c>
      <c r="AK183" s="657">
        <f>IF(AJ184&lt;=AL185,AJ184,AL185)</f>
        <v>0</v>
      </c>
      <c r="AL183" s="136">
        <f>((AG183*AI183)+(AH183*AJ183))*AK183</f>
        <v>0</v>
      </c>
      <c r="AM183" s="19"/>
      <c r="AN183" s="12"/>
      <c r="AO183" s="307">
        <f>ROUNDUP(AO182,0)</f>
        <v>9</v>
      </c>
      <c r="AP183" s="349">
        <f>IF(AP182="yes",0.5,1)</f>
        <v>1</v>
      </c>
      <c r="AQ183" s="12"/>
      <c r="AR183" s="285"/>
      <c r="AS183" s="15"/>
    </row>
    <row r="184" spans="1:46" ht="13.5" customHeight="1" x14ac:dyDescent="0.25">
      <c r="A184" s="145"/>
      <c r="B184" s="12"/>
      <c r="C184" s="115"/>
      <c r="D184" s="12"/>
      <c r="E184" s="126"/>
      <c r="F184" s="19"/>
      <c r="G184" s="12" t="s">
        <v>585</v>
      </c>
      <c r="H184" s="12"/>
      <c r="I184" s="12"/>
      <c r="J184" s="141"/>
      <c r="K184" s="12"/>
      <c r="L184" s="129"/>
      <c r="M184" s="129"/>
      <c r="N184" s="661">
        <f>L178*M178*F178</f>
        <v>0</v>
      </c>
      <c r="O184" s="136"/>
      <c r="P184" s="19"/>
      <c r="Q184" s="19"/>
      <c r="R184" s="19"/>
      <c r="S184" s="19"/>
      <c r="T184" s="19"/>
      <c r="U184" s="12"/>
      <c r="V184" s="141"/>
      <c r="W184" s="12"/>
      <c r="X184" s="653" t="s">
        <v>581</v>
      </c>
      <c r="Y184" s="653">
        <f>AO183-N182-N183</f>
        <v>9</v>
      </c>
      <c r="Z184" s="657"/>
      <c r="AA184" s="125"/>
      <c r="AB184" s="20"/>
      <c r="AC184" s="20"/>
      <c r="AD184" s="20"/>
      <c r="AE184" s="20"/>
      <c r="AF184" s="123"/>
      <c r="AG184" s="141"/>
      <c r="AH184" s="12"/>
      <c r="AI184" s="653" t="s">
        <v>581</v>
      </c>
      <c r="AJ184" s="653">
        <f>Y184-Z182-Z183</f>
        <v>0</v>
      </c>
      <c r="AK184" s="654">
        <f>AI178*AJ178*F178</f>
        <v>0.5161</v>
      </c>
      <c r="AL184" s="655">
        <f>ROUNDUP(AK184,0)</f>
        <v>1</v>
      </c>
      <c r="AM184" s="19"/>
      <c r="AN184" s="12"/>
      <c r="AO184" s="307"/>
      <c r="AP184" s="349"/>
      <c r="AQ184" s="12"/>
      <c r="AR184" s="285"/>
      <c r="AS184" s="15"/>
    </row>
    <row r="185" spans="1:46" ht="13.5" customHeight="1" x14ac:dyDescent="0.25">
      <c r="A185" s="145"/>
      <c r="B185" s="12"/>
      <c r="C185" s="259" t="s">
        <v>606</v>
      </c>
      <c r="D185" s="12"/>
      <c r="E185" s="126"/>
      <c r="F185" s="19"/>
      <c r="G185" s="12"/>
      <c r="H185" s="12"/>
      <c r="I185" s="12"/>
      <c r="J185" s="12"/>
      <c r="K185" s="12"/>
      <c r="L185" s="12"/>
      <c r="M185" s="12"/>
      <c r="N185" s="662">
        <f>L180*M180*F180</f>
        <v>0</v>
      </c>
      <c r="O185" s="18"/>
      <c r="P185" s="19"/>
      <c r="Q185" s="19"/>
      <c r="R185" s="19"/>
      <c r="S185" s="19"/>
      <c r="T185" s="19"/>
      <c r="U185" s="12"/>
      <c r="V185" s="122"/>
      <c r="W185" s="122"/>
      <c r="X185" s="656"/>
      <c r="Y185" s="657"/>
      <c r="Z185" s="654">
        <f>X178*Y178*F178</f>
        <v>8.4839000000000002</v>
      </c>
      <c r="AA185" s="655">
        <f>ROUNDUP(Z185,0)</f>
        <v>9</v>
      </c>
      <c r="AB185" s="20"/>
      <c r="AC185" s="20"/>
      <c r="AD185" s="20"/>
      <c r="AE185" s="20"/>
      <c r="AF185" s="123"/>
      <c r="AG185" s="122"/>
      <c r="AH185" s="122"/>
      <c r="AI185" s="656"/>
      <c r="AJ185" s="656"/>
      <c r="AK185" s="658">
        <f>AI180*AJ180*F180</f>
        <v>0</v>
      </c>
      <c r="AL185" s="659">
        <f>ROUNDUP(AK185,0)</f>
        <v>0</v>
      </c>
      <c r="AM185" s="19"/>
      <c r="AN185" s="12"/>
      <c r="AO185" s="370" t="s">
        <v>411</v>
      </c>
      <c r="AP185" s="352" t="str">
        <f>Personnel!G76</f>
        <v>None</v>
      </c>
      <c r="AQ185" s="276" t="s">
        <v>117</v>
      </c>
      <c r="AR185" s="285">
        <f>(N187+N189+W187+W189+AJ187+AJ189)*AM187</f>
        <v>0</v>
      </c>
      <c r="AS185" s="15"/>
    </row>
    <row r="186" spans="1:46" ht="13.5" customHeight="1" x14ac:dyDescent="0.25">
      <c r="A186" s="145"/>
      <c r="B186" s="12"/>
      <c r="C186" s="117" t="s">
        <v>30</v>
      </c>
      <c r="D186" s="12"/>
      <c r="E186" s="13" t="s">
        <v>84</v>
      </c>
      <c r="F186" s="13" t="s">
        <v>42</v>
      </c>
      <c r="G186" s="13" t="s">
        <v>41</v>
      </c>
      <c r="H186" s="65" t="s">
        <v>77</v>
      </c>
      <c r="I186" s="137" t="s">
        <v>101</v>
      </c>
      <c r="J186" s="139" t="s">
        <v>102</v>
      </c>
      <c r="K186" s="127" t="s">
        <v>98</v>
      </c>
      <c r="L186" s="13" t="s">
        <v>100</v>
      </c>
      <c r="M186" s="13" t="s">
        <v>82</v>
      </c>
      <c r="N186" s="13" t="s">
        <v>31</v>
      </c>
      <c r="O186" s="14" t="s">
        <v>69</v>
      </c>
      <c r="P186" s="13" t="s">
        <v>72</v>
      </c>
      <c r="Q186" s="13" t="s">
        <v>103</v>
      </c>
      <c r="R186" s="65" t="s">
        <v>77</v>
      </c>
      <c r="S186" s="137" t="s">
        <v>101</v>
      </c>
      <c r="T186" s="139" t="s">
        <v>102</v>
      </c>
      <c r="U186" s="12" t="s">
        <v>98</v>
      </c>
      <c r="V186" s="13" t="s">
        <v>100</v>
      </c>
      <c r="W186" s="13" t="s">
        <v>32</v>
      </c>
      <c r="X186" s="13" t="s">
        <v>69</v>
      </c>
      <c r="Y186" s="13"/>
      <c r="Z186" s="658">
        <f>X180*Y180*F180</f>
        <v>0</v>
      </c>
      <c r="AA186" s="659">
        <f>ROUNDUP(Z186,0)</f>
        <v>0</v>
      </c>
      <c r="AB186" s="13" t="s">
        <v>72</v>
      </c>
      <c r="AC186" s="13" t="s">
        <v>103</v>
      </c>
      <c r="AD186" s="13"/>
      <c r="AE186" s="65" t="s">
        <v>77</v>
      </c>
      <c r="AF186" s="137" t="s">
        <v>101</v>
      </c>
      <c r="AG186" s="139" t="s">
        <v>102</v>
      </c>
      <c r="AH186" s="12" t="s">
        <v>98</v>
      </c>
      <c r="AI186" s="13" t="s">
        <v>100</v>
      </c>
      <c r="AJ186" s="13" t="s">
        <v>33</v>
      </c>
      <c r="AK186" s="13" t="s">
        <v>69</v>
      </c>
      <c r="AL186" s="18"/>
      <c r="AM186" s="13" t="s">
        <v>159</v>
      </c>
      <c r="AN186" s="12"/>
      <c r="AO186" s="276" t="s">
        <v>95</v>
      </c>
      <c r="AP186" s="349"/>
      <c r="AQ186" s="276" t="s">
        <v>186</v>
      </c>
      <c r="AR186" s="285">
        <f>AR185*'Rate Tables'!P$8</f>
        <v>0</v>
      </c>
      <c r="AS186" s="15"/>
      <c r="AT186" s="314"/>
    </row>
    <row r="187" spans="1:46" ht="13.5" customHeight="1" x14ac:dyDescent="0.25">
      <c r="A187" s="145"/>
      <c r="B187" s="12"/>
      <c r="C187" s="115"/>
      <c r="D187" s="12"/>
      <c r="E187" s="211">
        <f>IF(H202&lt;=H203,H202,H203)</f>
        <v>0</v>
      </c>
      <c r="F187" s="19">
        <f>IF($D$4=2022,1,0)</f>
        <v>1</v>
      </c>
      <c r="G187" s="178">
        <f>IF($B202="Yes",$C$5,$I201)</f>
        <v>12</v>
      </c>
      <c r="H187" s="36">
        <f>H178</f>
        <v>3</v>
      </c>
      <c r="I187" s="138">
        <f>VLOOKUP(J178,'Lookup Tables'!$AB$22:$AC$31,2,FALSE)</f>
        <v>32</v>
      </c>
      <c r="J187" s="140">
        <f>VLOOKUP(U178,'Lookup Tables'!$AB$32:$AC$41,2,FALSE)</f>
        <v>33</v>
      </c>
      <c r="K187" s="123">
        <f>E187-J187</f>
        <v>-33</v>
      </c>
      <c r="L187" s="12">
        <f>IF(K187&gt;0,1,0)</f>
        <v>0</v>
      </c>
      <c r="M187" s="119">
        <f>M178</f>
        <v>0</v>
      </c>
      <c r="N187" s="15">
        <f>((((('Rate Tables'!B77*9)*0.02778)/5)*K187)*L187)*F187*M187*AO189</f>
        <v>0</v>
      </c>
      <c r="O187" s="28">
        <f>O178</f>
        <v>12</v>
      </c>
      <c r="P187" s="8">
        <f>IF(O187&lt;0,O187*0,1)*O187</f>
        <v>12</v>
      </c>
      <c r="Q187" s="123">
        <f>(E187-K187*F187*L187*M187)</f>
        <v>0</v>
      </c>
      <c r="R187" s="36">
        <f>S178</f>
        <v>3</v>
      </c>
      <c r="S187" s="138">
        <f>VLOOKUP(U178,'Lookup Tables'!$AB$22:$AC$31,2,FALSE)</f>
        <v>32</v>
      </c>
      <c r="T187" s="140">
        <f>VLOOKUP(AF178,'Lookup Tables'!$AB$32:$AC$41,2,FALSE)</f>
        <v>33</v>
      </c>
      <c r="U187" s="129">
        <f>Q187-T187</f>
        <v>-33</v>
      </c>
      <c r="V187" s="12">
        <f>IF(U187&gt;0,1,0)</f>
        <v>0</v>
      </c>
      <c r="W187" s="15">
        <f>((('Rate Tables'!C77*9)*0.02778)/5)*U187*F187*V187*AO189</f>
        <v>0</v>
      </c>
      <c r="X187" s="8">
        <f>AA178</f>
        <v>2</v>
      </c>
      <c r="Y187" s="12"/>
      <c r="Z187" s="119"/>
      <c r="AA187" s="18"/>
      <c r="AB187" s="8">
        <f>IF(X187&lt;0,X187*0,1)*X187</f>
        <v>2</v>
      </c>
      <c r="AC187" s="123">
        <f>Q187-(U187*V187)</f>
        <v>0</v>
      </c>
      <c r="AD187" s="12"/>
      <c r="AE187" s="36">
        <f>AE178</f>
        <v>1</v>
      </c>
      <c r="AF187" s="138">
        <f>VLOOKUP(AF178,'Lookup Tables'!$AB$22:$AC$31,2,FALSE)</f>
        <v>32</v>
      </c>
      <c r="AG187" s="140">
        <v>0</v>
      </c>
      <c r="AH187" s="125">
        <f>AC187-AG187</f>
        <v>0</v>
      </c>
      <c r="AI187" s="12">
        <f>IF(AH187&gt;0,1,0)</f>
        <v>0</v>
      </c>
      <c r="AJ187" s="15">
        <f>((('Rate Tables'!D77*9)*0.02778)/5)*AH187*AI187*F187*AO189</f>
        <v>0</v>
      </c>
      <c r="AK187" s="8">
        <f>AL178</f>
        <v>0</v>
      </c>
      <c r="AL187" s="18"/>
      <c r="AM187" s="19">
        <f>VLOOKUP(B174,'Lookup Tables'!$AK$22:$AM$24,2,0)</f>
        <v>0</v>
      </c>
      <c r="AN187" s="12"/>
      <c r="AO187" s="308">
        <f>VLOOKUP(AP185,'Lookup Tables'!$AF$22:$AG$24,2,FALSE)</f>
        <v>0</v>
      </c>
      <c r="AP187" s="349" t="s">
        <v>643</v>
      </c>
      <c r="AQ187" s="12"/>
      <c r="AR187" s="285"/>
      <c r="AS187" s="15"/>
    </row>
    <row r="188" spans="1:46" ht="13.5" customHeight="1" x14ac:dyDescent="0.25">
      <c r="A188" s="145"/>
      <c r="B188" s="12"/>
      <c r="C188" s="117" t="s">
        <v>597</v>
      </c>
      <c r="D188" s="12"/>
      <c r="E188" s="13" t="s">
        <v>84</v>
      </c>
      <c r="F188" s="13" t="s">
        <v>42</v>
      </c>
      <c r="G188" s="13" t="s">
        <v>41</v>
      </c>
      <c r="H188" s="65" t="s">
        <v>77</v>
      </c>
      <c r="I188" s="137" t="s">
        <v>105</v>
      </c>
      <c r="J188" s="139" t="s">
        <v>106</v>
      </c>
      <c r="K188" s="127" t="s">
        <v>99</v>
      </c>
      <c r="L188" s="13" t="s">
        <v>100</v>
      </c>
      <c r="M188" s="13" t="s">
        <v>82</v>
      </c>
      <c r="N188" s="13" t="s">
        <v>32</v>
      </c>
      <c r="O188" s="14" t="s">
        <v>69</v>
      </c>
      <c r="P188" s="13" t="s">
        <v>72</v>
      </c>
      <c r="Q188" s="13" t="s">
        <v>103</v>
      </c>
      <c r="R188" s="65" t="s">
        <v>77</v>
      </c>
      <c r="S188" s="137" t="s">
        <v>105</v>
      </c>
      <c r="T188" s="139" t="s">
        <v>106</v>
      </c>
      <c r="U188" s="12" t="s">
        <v>98</v>
      </c>
      <c r="V188" s="13" t="s">
        <v>100</v>
      </c>
      <c r="W188" s="13" t="s">
        <v>33</v>
      </c>
      <c r="X188" s="13" t="s">
        <v>69</v>
      </c>
      <c r="Y188" s="13"/>
      <c r="Z188" s="13"/>
      <c r="AA188" s="18"/>
      <c r="AB188" s="13" t="s">
        <v>72</v>
      </c>
      <c r="AC188" s="13" t="s">
        <v>104</v>
      </c>
      <c r="AD188" s="13"/>
      <c r="AE188" s="65" t="s">
        <v>77</v>
      </c>
      <c r="AF188" s="137" t="s">
        <v>105</v>
      </c>
      <c r="AG188" s="139" t="s">
        <v>106</v>
      </c>
      <c r="AH188" s="12" t="s">
        <v>98</v>
      </c>
      <c r="AI188" s="13" t="s">
        <v>100</v>
      </c>
      <c r="AJ188" s="13" t="s">
        <v>34</v>
      </c>
      <c r="AK188" s="13" t="s">
        <v>69</v>
      </c>
      <c r="AL188" s="18"/>
      <c r="AM188" s="13"/>
      <c r="AN188" s="12"/>
      <c r="AO188" s="227" t="s">
        <v>126</v>
      </c>
      <c r="AP188" s="350" t="s">
        <v>644</v>
      </c>
      <c r="AQ188" s="276" t="s">
        <v>187</v>
      </c>
      <c r="AR188" s="285">
        <f>(((O191+O192+AA191+AA192+AL191+AL192)*AM191)*AR189)*AP190</f>
        <v>0</v>
      </c>
      <c r="AS188" s="15"/>
    </row>
    <row r="189" spans="1:46" ht="13.5" customHeight="1" x14ac:dyDescent="0.25">
      <c r="A189" s="145"/>
      <c r="B189" s="12"/>
      <c r="C189" s="115"/>
      <c r="D189" s="12"/>
      <c r="E189" s="128">
        <f>E187</f>
        <v>0</v>
      </c>
      <c r="F189" s="19">
        <f>IF($D$4=2023,1,0)</f>
        <v>0</v>
      </c>
      <c r="G189" s="178">
        <f>IF($B202="Yes",$C$5,$I201)</f>
        <v>12</v>
      </c>
      <c r="H189" s="36">
        <f>H180</f>
        <v>3</v>
      </c>
      <c r="I189" s="138">
        <f>VLOOKUP(J180,'Lookup Tables'!$AB$22:$AC$31,2,FALSE)</f>
        <v>32</v>
      </c>
      <c r="J189" s="140">
        <f>VLOOKUP(U180,'Lookup Tables'!$AB$32:$AC$41,2,FALSE)</f>
        <v>33</v>
      </c>
      <c r="K189" s="123">
        <f>E189-J189</f>
        <v>-33</v>
      </c>
      <c r="L189" s="12">
        <f>IF(K189&gt;0,1,0)</f>
        <v>0</v>
      </c>
      <c r="M189" s="119">
        <f>M180</f>
        <v>0</v>
      </c>
      <c r="N189" s="15">
        <f>((((('Rate Tables'!C77*9)*0.02778)/5)*K189)*L189)*F189*M189*AO189</f>
        <v>0</v>
      </c>
      <c r="O189" s="28">
        <f>O180</f>
        <v>12</v>
      </c>
      <c r="P189" s="8">
        <f>IF(O189&lt;0,O189*0,1)*O189</f>
        <v>12</v>
      </c>
      <c r="Q189" s="123">
        <f>(E189-K189*F189*L189*M189)</f>
        <v>0</v>
      </c>
      <c r="R189" s="36">
        <f>S180</f>
        <v>3</v>
      </c>
      <c r="S189" s="138">
        <f>VLOOKUP(U180,'Lookup Tables'!$AB$22:$AC$31,2,FALSE)</f>
        <v>32</v>
      </c>
      <c r="T189" s="140">
        <f>VLOOKUP(AF180,'Lookup Tables'!$AB$32:$AC$41,2,FALSE)</f>
        <v>33</v>
      </c>
      <c r="U189" s="129">
        <f>Q189-T189</f>
        <v>-33</v>
      </c>
      <c r="V189" s="12">
        <f>IF(U189&gt;0,1,0)</f>
        <v>0</v>
      </c>
      <c r="W189" s="15">
        <f>((('Rate Tables'!D77*9)*0.02778)/5)*U189*F189*V189*AO189</f>
        <v>0</v>
      </c>
      <c r="X189" s="8">
        <f>AA180</f>
        <v>2</v>
      </c>
      <c r="Y189" s="12"/>
      <c r="Z189" s="119"/>
      <c r="AA189" s="18"/>
      <c r="AB189" s="8">
        <f>IF(X189&lt;0,X189*0,1)*X189</f>
        <v>2</v>
      </c>
      <c r="AC189" s="123">
        <f>Q189-(U189*V189)</f>
        <v>0</v>
      </c>
      <c r="AD189" s="12"/>
      <c r="AE189" s="36">
        <f>AE180</f>
        <v>1</v>
      </c>
      <c r="AF189" s="138">
        <f>VLOOKUP(AF180,'Lookup Tables'!$AB$22:$AC$31,2,FALSE)</f>
        <v>32</v>
      </c>
      <c r="AG189" s="140">
        <v>0</v>
      </c>
      <c r="AH189" s="125">
        <f>AC189-AG189</f>
        <v>0</v>
      </c>
      <c r="AI189" s="12">
        <f>IF(AH189&gt;0,1,0)</f>
        <v>0</v>
      </c>
      <c r="AJ189" s="15">
        <f>((('Rate Tables'!E77*9)*0.02778)/5)*AH189*AI189*F189*AO189</f>
        <v>0</v>
      </c>
      <c r="AK189" s="8">
        <f>AL180</f>
        <v>0</v>
      </c>
      <c r="AL189" s="18"/>
      <c r="AM189" s="19"/>
      <c r="AN189" s="12"/>
      <c r="AO189" s="319">
        <f>VLOOKUP(AP185,'Lookup Tables'!$AF$26:$AG$28,2,0)</f>
        <v>0</v>
      </c>
      <c r="AP189" s="358" t="str">
        <f>IF(AP185="50% Sum","no",Personnel!G78)</f>
        <v>No</v>
      </c>
      <c r="AQ189" s="227" t="s">
        <v>582</v>
      </c>
      <c r="AR189" s="663">
        <f>IF(AR185&gt;0,1,0)</f>
        <v>0</v>
      </c>
      <c r="AS189" s="15"/>
    </row>
    <row r="190" spans="1:46" ht="13.5" customHeight="1" x14ac:dyDescent="0.25">
      <c r="A190" s="145"/>
      <c r="B190" s="12"/>
      <c r="C190" s="114"/>
      <c r="D190" s="12"/>
      <c r="E190" s="12"/>
      <c r="F190" s="12"/>
      <c r="G190" s="12"/>
      <c r="H190" s="12"/>
      <c r="I190" s="12" t="s">
        <v>641</v>
      </c>
      <c r="J190" s="12" t="s">
        <v>642</v>
      </c>
      <c r="K190" s="12" t="s">
        <v>164</v>
      </c>
      <c r="L190" s="13" t="s">
        <v>165</v>
      </c>
      <c r="M190" s="608" t="s">
        <v>128</v>
      </c>
      <c r="N190" s="147" t="s">
        <v>129</v>
      </c>
      <c r="O190" s="135" t="s">
        <v>130</v>
      </c>
      <c r="P190" s="12"/>
      <c r="Q190" s="12"/>
      <c r="R190" s="12"/>
      <c r="S190" s="12"/>
      <c r="T190" s="12"/>
      <c r="U190" s="12"/>
      <c r="V190" s="12" t="s">
        <v>166</v>
      </c>
      <c r="W190" s="12" t="s">
        <v>163</v>
      </c>
      <c r="X190" s="13" t="s">
        <v>165</v>
      </c>
      <c r="Y190" s="650" t="s">
        <v>128</v>
      </c>
      <c r="Z190" s="13" t="s">
        <v>129</v>
      </c>
      <c r="AA190" s="135" t="s">
        <v>130</v>
      </c>
      <c r="AB190" s="12"/>
      <c r="AC190" s="12"/>
      <c r="AD190" s="12"/>
      <c r="AE190" s="12"/>
      <c r="AF190" s="12"/>
      <c r="AG190" s="12" t="s">
        <v>166</v>
      </c>
      <c r="AH190" s="12" t="s">
        <v>163</v>
      </c>
      <c r="AI190" s="13" t="s">
        <v>165</v>
      </c>
      <c r="AJ190" s="650" t="s">
        <v>128</v>
      </c>
      <c r="AK190" s="13" t="s">
        <v>129</v>
      </c>
      <c r="AL190" s="135" t="s">
        <v>130</v>
      </c>
      <c r="AM190" s="13" t="s">
        <v>159</v>
      </c>
      <c r="AN190" s="12"/>
      <c r="AO190" s="227"/>
      <c r="AP190" s="349">
        <f>IF(AP189="yes",0.5,1)</f>
        <v>1</v>
      </c>
      <c r="AQ190" s="12"/>
      <c r="AR190" s="285"/>
      <c r="AS190" s="15"/>
    </row>
    <row r="191" spans="1:46" ht="13.5" customHeight="1" x14ac:dyDescent="0.25">
      <c r="A191" s="145"/>
      <c r="B191" s="12"/>
      <c r="C191" s="114"/>
      <c r="D191" s="12"/>
      <c r="E191" s="12"/>
      <c r="F191" s="12"/>
      <c r="G191" s="12"/>
      <c r="H191" s="12"/>
      <c r="I191" s="12">
        <f>G178</f>
        <v>12</v>
      </c>
      <c r="J191" s="125">
        <f>AO183</f>
        <v>9</v>
      </c>
      <c r="K191" s="125">
        <f>I191-J191</f>
        <v>3</v>
      </c>
      <c r="L191" s="123">
        <f>V191</f>
        <v>0</v>
      </c>
      <c r="M191" s="609">
        <f>IF(M193&lt;=0,0,ROUNDUP(M193,0))</f>
        <v>3</v>
      </c>
      <c r="N191" s="161">
        <f>'Rate Tables'!$P$17</f>
        <v>910</v>
      </c>
      <c r="O191" s="136">
        <f>(M191*N191)*F187*M187</f>
        <v>0</v>
      </c>
      <c r="P191" s="12"/>
      <c r="Q191" s="12"/>
      <c r="R191" s="12"/>
      <c r="S191" s="12"/>
      <c r="T191" s="12"/>
      <c r="U191" s="12"/>
      <c r="V191" s="12">
        <f>VLOOKUP((U187*V187),'Lookup Tables'!$E$38:$F$103,2,0)</f>
        <v>0</v>
      </c>
      <c r="W191" s="12">
        <f>K191-(M191*M187)</f>
        <v>3</v>
      </c>
      <c r="X191" s="119">
        <f>AG191</f>
        <v>0</v>
      </c>
      <c r="Y191" s="609">
        <f>IF(Y193&lt;=0,0,ROUNDUP(Y193,0))</f>
        <v>3</v>
      </c>
      <c r="Z191" s="129">
        <f>'Rate Tables'!$P$18</f>
        <v>910</v>
      </c>
      <c r="AA191" s="136">
        <f>Y191*Z191*F187*V187</f>
        <v>0</v>
      </c>
      <c r="AB191" s="12"/>
      <c r="AC191" s="12"/>
      <c r="AD191" s="12"/>
      <c r="AE191" s="12"/>
      <c r="AF191" s="12"/>
      <c r="AG191" s="12">
        <f>VLOOKUP(AH187,'Lookup Tables'!$E$38:$F$103,2,0)</f>
        <v>0</v>
      </c>
      <c r="AH191" s="125">
        <f>W191-(Y191*V187)</f>
        <v>3</v>
      </c>
      <c r="AI191" s="119">
        <v>0</v>
      </c>
      <c r="AJ191" s="609">
        <f>IF(AJ193&lt;=0,0,ROUNDUP(AJ193,0))</f>
        <v>3</v>
      </c>
      <c r="AK191" s="129">
        <f>'Rate Tables'!$P$19</f>
        <v>910</v>
      </c>
      <c r="AL191" s="136">
        <f>AJ191*AK191*F187*AI187</f>
        <v>0</v>
      </c>
      <c r="AM191" s="19">
        <f>VLOOKUP(B174,'Lookup Tables'!$AK$22:$AM$24,2,0)</f>
        <v>0</v>
      </c>
      <c r="AN191" s="12"/>
      <c r="AO191" s="307"/>
      <c r="AP191" s="358"/>
      <c r="AQ191" s="12"/>
      <c r="AR191" s="285"/>
      <c r="AS191" s="15"/>
    </row>
    <row r="192" spans="1:46" ht="13.5" customHeight="1" x14ac:dyDescent="0.25">
      <c r="A192" s="145"/>
      <c r="B192" s="12"/>
      <c r="C192" s="114"/>
      <c r="D192" s="12"/>
      <c r="E192" s="12"/>
      <c r="F192" s="12"/>
      <c r="G192" s="12"/>
      <c r="H192" s="12"/>
      <c r="I192" s="12">
        <f>G180</f>
        <v>12</v>
      </c>
      <c r="J192" s="125">
        <f>J191</f>
        <v>9</v>
      </c>
      <c r="K192" s="125">
        <f>I192-J192</f>
        <v>3</v>
      </c>
      <c r="L192" s="123">
        <f>V192</f>
        <v>0</v>
      </c>
      <c r="M192" s="609">
        <f>IF(M194&lt;=0,0,ROUNDUP(M194,0))</f>
        <v>3</v>
      </c>
      <c r="N192" s="161">
        <f>'Rate Tables'!$P$18</f>
        <v>910</v>
      </c>
      <c r="O192" s="136">
        <f>(M192*N192)*F189*M189</f>
        <v>0</v>
      </c>
      <c r="P192" s="12"/>
      <c r="Q192" s="12"/>
      <c r="R192" s="12"/>
      <c r="S192" s="12"/>
      <c r="T192" s="12"/>
      <c r="U192" s="12"/>
      <c r="V192" s="12">
        <f>VLOOKUP((U189*V189),'Lookup Tables'!$E$38:$F$103,2,0)</f>
        <v>0</v>
      </c>
      <c r="W192" s="12">
        <f>K192-(M192*M189)</f>
        <v>3</v>
      </c>
      <c r="X192" s="119">
        <f>AG192</f>
        <v>0</v>
      </c>
      <c r="Y192" s="609">
        <f>IF(Y194&lt;=0,0,ROUNDUP(Y194,0))</f>
        <v>3</v>
      </c>
      <c r="Z192" s="129">
        <f>'Rate Tables'!$P$19</f>
        <v>910</v>
      </c>
      <c r="AA192" s="136">
        <f>Y192*Z192*F189*V189</f>
        <v>0</v>
      </c>
      <c r="AB192" s="12"/>
      <c r="AC192" s="12"/>
      <c r="AD192" s="12"/>
      <c r="AE192" s="12"/>
      <c r="AF192" s="12"/>
      <c r="AG192" s="12">
        <f>VLOOKUP(AH189,'Lookup Tables'!$E$38:$F$103,2,0)</f>
        <v>0</v>
      </c>
      <c r="AH192" s="125">
        <f>W192-(Y192*V189)</f>
        <v>3</v>
      </c>
      <c r="AI192" s="119">
        <v>0</v>
      </c>
      <c r="AJ192" s="609">
        <f>IF(AJ194&lt;=0,0,ROUNDUP(AJ194,0))</f>
        <v>3</v>
      </c>
      <c r="AK192" s="129">
        <f>'Rate Tables'!$P$20</f>
        <v>928.2</v>
      </c>
      <c r="AL192" s="136">
        <f>AJ192*AK192*F189*AI189</f>
        <v>0</v>
      </c>
      <c r="AM192" s="19"/>
      <c r="AN192" s="12"/>
      <c r="AO192" s="307"/>
      <c r="AP192" s="349"/>
      <c r="AQ192" s="12"/>
      <c r="AR192" s="285"/>
      <c r="AS192" s="15"/>
    </row>
    <row r="193" spans="1:45" ht="13.5" customHeight="1" x14ac:dyDescent="0.25">
      <c r="A193" s="145"/>
      <c r="B193" s="12"/>
      <c r="C193" s="114"/>
      <c r="D193" s="12"/>
      <c r="E193" s="12"/>
      <c r="F193" s="12"/>
      <c r="G193" s="12" t="s">
        <v>584</v>
      </c>
      <c r="H193" s="12"/>
      <c r="I193" s="12"/>
      <c r="J193" s="12"/>
      <c r="K193" s="12"/>
      <c r="L193" s="123"/>
      <c r="M193" s="648">
        <f>K191-L191</f>
        <v>3</v>
      </c>
      <c r="N193" s="161"/>
      <c r="O193" s="125"/>
      <c r="P193" s="12"/>
      <c r="Q193" s="12"/>
      <c r="R193" s="12"/>
      <c r="S193" s="12"/>
      <c r="T193" s="12"/>
      <c r="U193" s="12"/>
      <c r="V193" s="12"/>
      <c r="W193" s="12"/>
      <c r="X193" s="119"/>
      <c r="Y193" s="651">
        <f>W191-X191</f>
        <v>3</v>
      </c>
      <c r="Z193" s="129"/>
      <c r="AA193" s="125"/>
      <c r="AB193" s="12"/>
      <c r="AC193" s="12"/>
      <c r="AD193" s="12"/>
      <c r="AE193" s="12"/>
      <c r="AF193" s="12"/>
      <c r="AG193" s="12"/>
      <c r="AH193" s="125"/>
      <c r="AI193" s="119"/>
      <c r="AJ193" s="651">
        <f>AH191-AI191</f>
        <v>3</v>
      </c>
      <c r="AK193" s="129"/>
      <c r="AL193" s="125"/>
      <c r="AM193" s="19"/>
      <c r="AN193" s="12"/>
      <c r="AO193" s="307"/>
      <c r="AP193" s="349"/>
      <c r="AQ193" s="12"/>
      <c r="AR193" s="285"/>
      <c r="AS193" s="15"/>
    </row>
    <row r="194" spans="1:45" ht="13.5" customHeight="1" x14ac:dyDescent="0.25">
      <c r="A194" s="145"/>
      <c r="B194" s="162"/>
      <c r="C194" s="115">
        <f>(B176*12)*2</f>
        <v>0</v>
      </c>
      <c r="D194" s="115"/>
      <c r="E194" s="126"/>
      <c r="F194" s="126"/>
      <c r="G194" s="12"/>
      <c r="H194" s="12"/>
      <c r="I194" s="12"/>
      <c r="J194" s="12"/>
      <c r="K194" s="12"/>
      <c r="L194" s="12"/>
      <c r="M194" s="649">
        <f>K192-L192</f>
        <v>3</v>
      </c>
      <c r="N194" s="12"/>
      <c r="O194" s="12"/>
      <c r="P194" s="12"/>
      <c r="Q194" s="12"/>
      <c r="R194" s="12"/>
      <c r="S194" s="12"/>
      <c r="T194" s="12"/>
      <c r="U194" s="12"/>
      <c r="V194" s="12"/>
      <c r="W194" s="12"/>
      <c r="X194" s="12"/>
      <c r="Y194" s="652">
        <f>W192-X192</f>
        <v>3</v>
      </c>
      <c r="Z194" s="12"/>
      <c r="AA194" s="12"/>
      <c r="AB194" s="12"/>
      <c r="AC194" s="12"/>
      <c r="AD194" s="12"/>
      <c r="AE194" s="12"/>
      <c r="AF194" s="12"/>
      <c r="AG194" s="12"/>
      <c r="AH194" s="12"/>
      <c r="AI194" s="12"/>
      <c r="AJ194" s="652">
        <f>AH192-AI192</f>
        <v>3</v>
      </c>
      <c r="AK194" s="12"/>
      <c r="AL194" s="12"/>
      <c r="AM194" s="12"/>
      <c r="AN194" s="12"/>
      <c r="AO194" s="306" t="s">
        <v>413</v>
      </c>
      <c r="AP194" s="348">
        <f>Personnel!G74</f>
        <v>0</v>
      </c>
      <c r="AQ194" s="276" t="s">
        <v>416</v>
      </c>
      <c r="AR194" s="285">
        <f>(M196+M198+W196+W198+AI196+AI198)*AM196</f>
        <v>0</v>
      </c>
      <c r="AS194" s="15"/>
    </row>
    <row r="195" spans="1:45" ht="13.5" customHeight="1" x14ac:dyDescent="0.25">
      <c r="A195" s="145"/>
      <c r="B195" s="12"/>
      <c r="C195" s="117" t="s">
        <v>30</v>
      </c>
      <c r="D195" s="117"/>
      <c r="E195" s="13">
        <v>0</v>
      </c>
      <c r="F195" s="13" t="s">
        <v>42</v>
      </c>
      <c r="G195" s="13" t="s">
        <v>41</v>
      </c>
      <c r="H195" s="65" t="s">
        <v>77</v>
      </c>
      <c r="I195" s="150" t="s">
        <v>50</v>
      </c>
      <c r="J195" s="13" t="s">
        <v>52</v>
      </c>
      <c r="K195" s="13" t="s">
        <v>35</v>
      </c>
      <c r="L195" s="13" t="s">
        <v>82</v>
      </c>
      <c r="M195" s="13" t="s">
        <v>31</v>
      </c>
      <c r="N195" s="13" t="s">
        <v>69</v>
      </c>
      <c r="O195" s="12"/>
      <c r="P195" s="13" t="s">
        <v>72</v>
      </c>
      <c r="Q195" s="65" t="s">
        <v>80</v>
      </c>
      <c r="R195" s="62" t="s">
        <v>81</v>
      </c>
      <c r="S195" s="65" t="s">
        <v>77</v>
      </c>
      <c r="T195" s="674" t="s">
        <v>107</v>
      </c>
      <c r="U195" s="13" t="s">
        <v>53</v>
      </c>
      <c r="V195" s="13" t="s">
        <v>82</v>
      </c>
      <c r="W195" s="13" t="s">
        <v>32</v>
      </c>
      <c r="X195" s="13" t="s">
        <v>69</v>
      </c>
      <c r="Y195" s="12"/>
      <c r="Z195" s="12"/>
      <c r="AA195" s="12"/>
      <c r="AB195" s="13" t="s">
        <v>72</v>
      </c>
      <c r="AC195" s="13" t="s">
        <v>80</v>
      </c>
      <c r="AD195" s="62" t="s">
        <v>81</v>
      </c>
      <c r="AE195" s="65" t="s">
        <v>77</v>
      </c>
      <c r="AF195" s="151" t="s">
        <v>107</v>
      </c>
      <c r="AG195" s="13" t="s">
        <v>78</v>
      </c>
      <c r="AH195" s="13" t="s">
        <v>82</v>
      </c>
      <c r="AI195" s="13" t="s">
        <v>33</v>
      </c>
      <c r="AJ195" s="13" t="s">
        <v>69</v>
      </c>
      <c r="AK195" s="12"/>
      <c r="AL195" s="12"/>
      <c r="AM195" s="13" t="s">
        <v>159</v>
      </c>
      <c r="AN195" s="12"/>
      <c r="AO195" s="227"/>
      <c r="AP195" s="12"/>
      <c r="AQ195" s="12"/>
      <c r="AR195" s="285"/>
      <c r="AS195" s="15"/>
    </row>
    <row r="196" spans="1:45" ht="13.5" customHeight="1" x14ac:dyDescent="0.25">
      <c r="A196" s="145"/>
      <c r="B196" s="12"/>
      <c r="C196" s="115"/>
      <c r="D196" s="115"/>
      <c r="E196" s="152">
        <f>AP194</f>
        <v>0</v>
      </c>
      <c r="F196" s="19">
        <f>IF($D$4=2022,1,0)</f>
        <v>1</v>
      </c>
      <c r="G196" s="178">
        <f>IF($B202="Yes",$C$5,$I201)</f>
        <v>12</v>
      </c>
      <c r="H196" s="36">
        <f>VLOOKUP(H200,'Lookup Tables'!$A$22:$B$33,2,FALSE)</f>
        <v>3</v>
      </c>
      <c r="I196" s="192">
        <f>VLOOKUP($E$4,'Lookup Tables'!$AB$46:$AN$58,MATCH($H196,'Lookup Tables'!$AB$46:$AN$46),FALSE)</f>
        <v>12</v>
      </c>
      <c r="J196" s="19">
        <f>12-I196</f>
        <v>0</v>
      </c>
      <c r="K196" s="19">
        <f>IF(G196&lt;J196,G196,J196)</f>
        <v>0</v>
      </c>
      <c r="L196" s="195">
        <f>IF(12-I196&gt;=1,1,0)</f>
        <v>0</v>
      </c>
      <c r="M196" s="20">
        <f>((('Rate Tables'!$B99*$E196)*PersonCalcYr1!$K196)*L196)*$F196</f>
        <v>0</v>
      </c>
      <c r="N196" s="8">
        <f>G196-(J196*L196)</f>
        <v>12</v>
      </c>
      <c r="O196" s="12"/>
      <c r="P196" s="8">
        <f>IF(N196&lt;0,N196*0,1)*N196</f>
        <v>12</v>
      </c>
      <c r="Q196" s="120">
        <f>VLOOKUP($H200,'Lookup Tables'!$A$22:$B$33,2,FALSE)+(K196*L196)</f>
        <v>3</v>
      </c>
      <c r="R196" s="121" t="str">
        <f>VLOOKUP(Q196,'Lookup Tables'!$A$38:$B$151,2,FALSE)</f>
        <v>Sept</v>
      </c>
      <c r="S196" s="36">
        <f>VLOOKUP(R196,'Lookup Tables'!$A$22:$B$33,2,FALSE)</f>
        <v>3</v>
      </c>
      <c r="T196" s="672">
        <f>VLOOKUP($E$4,'Lookup Tables'!$AQ$46:$BC$58,MATCH(PersonCalcYr1!$S196,'Lookup Tables'!$AQ$46:$BC$46),FALSE)</f>
        <v>10</v>
      </c>
      <c r="U196" s="19">
        <f>IF(P196&lt;T196,P196,T196)</f>
        <v>10</v>
      </c>
      <c r="V196" s="119">
        <f>IF((U196)&lt;=0,0,1)</f>
        <v>1</v>
      </c>
      <c r="W196" s="20">
        <f>(('Rate Tables'!$C99*$E196)*PersonCalcYr1!$U196)*$V196*$F196</f>
        <v>0</v>
      </c>
      <c r="X196" s="8">
        <f>P196-(U196*V196)</f>
        <v>2</v>
      </c>
      <c r="Y196" s="12"/>
      <c r="Z196" s="12"/>
      <c r="AA196" s="12"/>
      <c r="AB196" s="19">
        <f>X196</f>
        <v>2</v>
      </c>
      <c r="AC196" s="123">
        <f>AC178</f>
        <v>13</v>
      </c>
      <c r="AD196" s="121" t="str">
        <f>VLOOKUP(AC196,'Lookup Tables'!$A$38:$B$151,2,FALSE)</f>
        <v>July</v>
      </c>
      <c r="AE196" s="36">
        <f>VLOOKUP(AD196,'Lookup Tables'!$A$22:$B$33,2,FALSE)</f>
        <v>1</v>
      </c>
      <c r="AF196" s="87">
        <f>VLOOKUP($AE196,'Lookup Tables'!$AC$3:$AW$16,MATCH(PersonCalcYr1!$AB196,'Lookup Tables'!$AC$3:$AW$3),FALSE)</f>
        <v>2</v>
      </c>
      <c r="AG196" s="19">
        <f>IF(AB196&lt;AF196,AB196,AF196)</f>
        <v>2</v>
      </c>
      <c r="AH196" s="119">
        <f>IF((AG196)&lt;=0,0,1)</f>
        <v>1</v>
      </c>
      <c r="AI196" s="20">
        <f>(('Rate Tables'!$D99*$E196)*PersonCalcYr1!AG196)*AH196*$F196</f>
        <v>0</v>
      </c>
      <c r="AJ196" s="8">
        <f>AB196-(AG196*AH196)</f>
        <v>0</v>
      </c>
      <c r="AK196" s="12"/>
      <c r="AL196" s="12"/>
      <c r="AM196" s="19">
        <f>VLOOKUP(B174,'Lookup Tables'!$AK$22:$AM$24,3,0)</f>
        <v>1</v>
      </c>
      <c r="AN196" s="12"/>
      <c r="AO196" s="227"/>
      <c r="AP196" s="12"/>
      <c r="AQ196" s="276" t="s">
        <v>188</v>
      </c>
      <c r="AR196" s="285">
        <f>AR194*'Rate Tables'!P$8</f>
        <v>0</v>
      </c>
      <c r="AS196" s="15"/>
    </row>
    <row r="197" spans="1:45" ht="13.5" customHeight="1" x14ac:dyDescent="0.25">
      <c r="A197" s="145"/>
      <c r="B197" s="12"/>
      <c r="C197" s="117" t="s">
        <v>597</v>
      </c>
      <c r="D197" s="117"/>
      <c r="E197" s="13">
        <v>0</v>
      </c>
      <c r="F197" s="13" t="s">
        <v>42</v>
      </c>
      <c r="G197" s="13" t="s">
        <v>41</v>
      </c>
      <c r="H197" s="65" t="s">
        <v>77</v>
      </c>
      <c r="I197" s="150" t="s">
        <v>51</v>
      </c>
      <c r="J197" s="13" t="s">
        <v>110</v>
      </c>
      <c r="K197" s="13" t="s">
        <v>53</v>
      </c>
      <c r="L197" s="13" t="s">
        <v>82</v>
      </c>
      <c r="M197" s="13" t="s">
        <v>32</v>
      </c>
      <c r="N197" s="13" t="s">
        <v>69</v>
      </c>
      <c r="O197" s="12"/>
      <c r="P197" s="13" t="s">
        <v>72</v>
      </c>
      <c r="Q197" s="65" t="s">
        <v>80</v>
      </c>
      <c r="R197" s="62" t="s">
        <v>81</v>
      </c>
      <c r="S197" s="65" t="s">
        <v>77</v>
      </c>
      <c r="T197" s="674" t="s">
        <v>107</v>
      </c>
      <c r="U197" s="13" t="s">
        <v>78</v>
      </c>
      <c r="V197" s="13" t="s">
        <v>82</v>
      </c>
      <c r="W197" s="13" t="s">
        <v>33</v>
      </c>
      <c r="X197" s="13" t="s">
        <v>69</v>
      </c>
      <c r="Y197" s="12"/>
      <c r="Z197" s="12"/>
      <c r="AA197" s="12"/>
      <c r="AB197" s="13" t="s">
        <v>72</v>
      </c>
      <c r="AC197" s="13" t="s">
        <v>80</v>
      </c>
      <c r="AD197" s="62" t="s">
        <v>81</v>
      </c>
      <c r="AE197" s="65" t="s">
        <v>77</v>
      </c>
      <c r="AF197" s="151" t="s">
        <v>107</v>
      </c>
      <c r="AG197" s="13" t="s">
        <v>79</v>
      </c>
      <c r="AH197" s="13" t="s">
        <v>82</v>
      </c>
      <c r="AI197" s="13" t="s">
        <v>34</v>
      </c>
      <c r="AJ197" s="13" t="s">
        <v>69</v>
      </c>
      <c r="AK197" s="12"/>
      <c r="AL197" s="12"/>
      <c r="AM197" s="13"/>
      <c r="AN197" s="12"/>
      <c r="AO197" s="311"/>
      <c r="AP197" s="349" t="s">
        <v>643</v>
      </c>
      <c r="AQ197" s="12"/>
      <c r="AR197" s="285"/>
      <c r="AS197" s="15"/>
    </row>
    <row r="198" spans="1:45" ht="13.5" customHeight="1" x14ac:dyDescent="0.25">
      <c r="A198" s="145"/>
      <c r="B198" s="12"/>
      <c r="C198" s="115"/>
      <c r="D198" s="115"/>
      <c r="E198" s="152">
        <f>AP194</f>
        <v>0</v>
      </c>
      <c r="F198" s="19">
        <f>IF($D$4=2023,1,0)</f>
        <v>0</v>
      </c>
      <c r="G198" s="178">
        <f>IF($B202="Yes",$C$5,$I201)</f>
        <v>12</v>
      </c>
      <c r="H198" s="36">
        <f>VLOOKUP(H200,'Lookup Tables'!$A$22:$B$33,2,FALSE)</f>
        <v>3</v>
      </c>
      <c r="I198" s="192">
        <f>VLOOKUP($E$4,'Lookup Tables'!$AB$46:$AN$58,MATCH($H198,'Lookup Tables'!$AB$46:$AN$46),FALSE)</f>
        <v>12</v>
      </c>
      <c r="J198" s="19">
        <f>12-I198</f>
        <v>0</v>
      </c>
      <c r="K198" s="19">
        <f>IF(G198&lt;J198,G198,J198)</f>
        <v>0</v>
      </c>
      <c r="L198" s="195">
        <f>IF(12-I198&gt;=1,1,0)</f>
        <v>0</v>
      </c>
      <c r="M198" s="20">
        <f>((('Rate Tables'!$C99*$E198)*PersonCalcYr1!$K198)*L198)*$F198</f>
        <v>0</v>
      </c>
      <c r="N198" s="8">
        <f>G198-(J198*L198)</f>
        <v>12</v>
      </c>
      <c r="O198" s="12"/>
      <c r="P198" s="8">
        <f>IF(N198&lt;0,N198*0,1)*N198</f>
        <v>12</v>
      </c>
      <c r="Q198" s="120">
        <f>VLOOKUP($H200,'Lookup Tables'!$A$22:$B$33,2,FALSE)+(K198*L198)</f>
        <v>3</v>
      </c>
      <c r="R198" s="121" t="str">
        <f>VLOOKUP(Q198,'Lookup Tables'!$A$38:$B$151,2,FALSE)</f>
        <v>Sept</v>
      </c>
      <c r="S198" s="36">
        <f>VLOOKUP(R198,'Lookup Tables'!$A$22:$B$33,2,FALSE)</f>
        <v>3</v>
      </c>
      <c r="T198" s="672">
        <f>VLOOKUP($E$4,'Lookup Tables'!$AQ$46:$BC$58,MATCH(PersonCalcYr1!$S198,'Lookup Tables'!$AQ$46:$BC$46),FALSE)</f>
        <v>10</v>
      </c>
      <c r="U198" s="19">
        <f>IF(P198&lt;T198,P198,T198)</f>
        <v>10</v>
      </c>
      <c r="V198" s="119">
        <f>IF((U198)&lt;=0,0,1)</f>
        <v>1</v>
      </c>
      <c r="W198" s="20">
        <f>(('Rate Tables'!$D99*$E198)*PersonCalcYr1!$U198)*$V198*$F198</f>
        <v>0</v>
      </c>
      <c r="X198" s="8">
        <f>P198-(U198*V198)</f>
        <v>2</v>
      </c>
      <c r="Y198" s="12"/>
      <c r="Z198" s="12"/>
      <c r="AA198" s="12"/>
      <c r="AB198" s="19">
        <f>X198</f>
        <v>2</v>
      </c>
      <c r="AC198" s="123">
        <f>AC180</f>
        <v>13</v>
      </c>
      <c r="AD198" s="121" t="str">
        <f>VLOOKUP(AC198,'Lookup Tables'!$A$38:$B$151,2,FALSE)</f>
        <v>July</v>
      </c>
      <c r="AE198" s="36">
        <f>VLOOKUP(AD198,'Lookup Tables'!$A$22:$B$33,2,FALSE)</f>
        <v>1</v>
      </c>
      <c r="AF198" s="87">
        <f>VLOOKUP($AE198,'Lookup Tables'!$AC$3:$AW$16,MATCH(PersonCalcYr1!$AB198,'Lookup Tables'!$AC$3:$AW$3),FALSE)</f>
        <v>2</v>
      </c>
      <c r="AG198" s="19">
        <f>IF(AB198&lt;AF198,AB198,AF198)</f>
        <v>2</v>
      </c>
      <c r="AH198" s="119">
        <f>IF((AG198)&lt;=0,0,1)</f>
        <v>1</v>
      </c>
      <c r="AI198" s="20">
        <f>(('Rate Tables'!$E99*$E198)*PersonCalcYr1!AG198)*AH198*$F198</f>
        <v>0</v>
      </c>
      <c r="AJ198" s="8">
        <f>AB198-(AG198*AH198)</f>
        <v>0</v>
      </c>
      <c r="AK198" s="12"/>
      <c r="AL198" s="12"/>
      <c r="AM198" s="20"/>
      <c r="AN198" s="12"/>
      <c r="AO198" s="311"/>
      <c r="AP198" s="350" t="s">
        <v>644</v>
      </c>
      <c r="AQ198" s="276" t="s">
        <v>136</v>
      </c>
      <c r="AR198" s="285">
        <f>(((O200+O201+AA200+AA201+AL200+AL201)*AM200)*AR199)*AP200</f>
        <v>0</v>
      </c>
      <c r="AS198" s="12" t="s">
        <v>418</v>
      </c>
    </row>
    <row r="199" spans="1:45" ht="13.5" customHeight="1" x14ac:dyDescent="0.25">
      <c r="A199" s="145"/>
      <c r="B199" s="12" t="s">
        <v>127</v>
      </c>
      <c r="C199" s="12"/>
      <c r="D199" s="12"/>
      <c r="E199" s="12"/>
      <c r="F199" s="12"/>
      <c r="G199" s="12"/>
      <c r="H199" s="12"/>
      <c r="I199" s="12"/>
      <c r="J199" s="12"/>
      <c r="K199" s="12"/>
      <c r="L199" s="13"/>
      <c r="M199" s="13" t="s">
        <v>129</v>
      </c>
      <c r="N199" s="13" t="s">
        <v>128</v>
      </c>
      <c r="O199" s="153" t="s">
        <v>130</v>
      </c>
      <c r="P199" s="12"/>
      <c r="Q199" s="12"/>
      <c r="R199" s="12"/>
      <c r="S199" s="12"/>
      <c r="T199" s="12"/>
      <c r="U199" s="12"/>
      <c r="V199" s="12"/>
      <c r="W199" s="12"/>
      <c r="X199" s="12"/>
      <c r="Y199" s="13" t="s">
        <v>129</v>
      </c>
      <c r="Z199" s="13" t="s">
        <v>128</v>
      </c>
      <c r="AA199" s="153" t="s">
        <v>130</v>
      </c>
      <c r="AB199" s="12"/>
      <c r="AC199" s="12"/>
      <c r="AD199" s="12"/>
      <c r="AE199" s="12"/>
      <c r="AF199" s="12"/>
      <c r="AG199" s="12"/>
      <c r="AH199" s="12"/>
      <c r="AI199" s="12"/>
      <c r="AJ199" s="13" t="s">
        <v>129</v>
      </c>
      <c r="AK199" s="13" t="s">
        <v>128</v>
      </c>
      <c r="AL199" s="153" t="s">
        <v>130</v>
      </c>
      <c r="AM199" s="13" t="s">
        <v>159</v>
      </c>
      <c r="AN199" s="12"/>
      <c r="AO199" s="227"/>
      <c r="AP199" s="358" t="str">
        <f>IF(AP194="50% Sum","no",Personnel!G78)</f>
        <v>No</v>
      </c>
      <c r="AQ199" s="227" t="s">
        <v>582</v>
      </c>
      <c r="AR199" s="663">
        <f>IF(AR194&gt;0,1,0)</f>
        <v>0</v>
      </c>
      <c r="AS199" s="372">
        <f>VLOOKUP('F&amp;ARatesCalc'!$B$1,'F&amp;ARatesCalc'!$A$3:$B$5,2,FALSE)</f>
        <v>0.56999999999999995</v>
      </c>
    </row>
    <row r="200" spans="1:45" ht="13.5" customHeight="1" x14ac:dyDescent="0.25">
      <c r="A200" s="145"/>
      <c r="B200" s="12"/>
      <c r="C200" s="12"/>
      <c r="D200" s="12"/>
      <c r="E200" s="12"/>
      <c r="F200" s="12"/>
      <c r="G200" s="178" t="s">
        <v>430</v>
      </c>
      <c r="H200" s="178" t="str">
        <f>IF(B202="yes",$C$4,A204)</f>
        <v>Sept</v>
      </c>
      <c r="I200" s="12"/>
      <c r="J200" s="12"/>
      <c r="K200" s="12"/>
      <c r="L200" s="12"/>
      <c r="M200" s="129">
        <f>'Rate Tables'!$P$17</f>
        <v>910</v>
      </c>
      <c r="N200" s="146">
        <f>(K196*L196)*F196</f>
        <v>0</v>
      </c>
      <c r="O200" s="154">
        <f>M200*N200</f>
        <v>0</v>
      </c>
      <c r="P200" s="12"/>
      <c r="Q200" s="12"/>
      <c r="R200" s="12"/>
      <c r="S200" s="12"/>
      <c r="T200" s="12"/>
      <c r="U200" s="12"/>
      <c r="V200" s="12"/>
      <c r="W200" s="12"/>
      <c r="X200" s="12"/>
      <c r="Y200" s="129">
        <f>'Rate Tables'!$P$18</f>
        <v>910</v>
      </c>
      <c r="Z200" s="146">
        <f>U196*V196*F196</f>
        <v>10</v>
      </c>
      <c r="AA200" s="125">
        <f>Y200*Z200</f>
        <v>9100</v>
      </c>
      <c r="AB200" s="12"/>
      <c r="AC200" s="12"/>
      <c r="AD200" s="12"/>
      <c r="AE200" s="12"/>
      <c r="AF200" s="12"/>
      <c r="AG200" s="12"/>
      <c r="AH200" s="12"/>
      <c r="AI200" s="12"/>
      <c r="AJ200" s="129">
        <f>'Rate Tables'!$P$19</f>
        <v>910</v>
      </c>
      <c r="AK200" s="146">
        <f>AG196*AH196*F196</f>
        <v>2</v>
      </c>
      <c r="AL200" s="125">
        <f>AJ200*AK200</f>
        <v>1820</v>
      </c>
      <c r="AM200" s="19">
        <f>VLOOKUP(B174,'Lookup Tables'!$AK$22:$AM$24,3,0)</f>
        <v>1</v>
      </c>
      <c r="AN200" s="12"/>
      <c r="AO200" s="307"/>
      <c r="AP200" s="349">
        <f>IF(AP199="yes",0.5,1)</f>
        <v>1</v>
      </c>
      <c r="AQ200" s="12"/>
      <c r="AR200" s="285"/>
      <c r="AS200" s="12" t="s">
        <v>417</v>
      </c>
    </row>
    <row r="201" spans="1:45" ht="13.5" customHeight="1" x14ac:dyDescent="0.25">
      <c r="A201" s="145"/>
      <c r="B201" s="12"/>
      <c r="C201" s="12"/>
      <c r="D201" s="12"/>
      <c r="E201" s="12"/>
      <c r="F201" s="12"/>
      <c r="G201" s="491" t="s">
        <v>555</v>
      </c>
      <c r="H201" s="175">
        <f>IF(H204&lt;$C$5, H204,$C$5)</f>
        <v>12</v>
      </c>
      <c r="I201" s="178">
        <f>IF(B204&lt;=H204,B204,H204)</f>
        <v>0</v>
      </c>
      <c r="J201" s="12"/>
      <c r="K201" s="12"/>
      <c r="L201" s="12"/>
      <c r="M201" s="129">
        <f>'Rate Tables'!$P$18</f>
        <v>910</v>
      </c>
      <c r="N201" s="146">
        <f>K198*L198*F198</f>
        <v>0</v>
      </c>
      <c r="O201" s="154">
        <f>M201*N201</f>
        <v>0</v>
      </c>
      <c r="P201" s="12"/>
      <c r="Q201" s="12"/>
      <c r="R201" s="12"/>
      <c r="S201" s="12"/>
      <c r="T201" s="12"/>
      <c r="U201" s="12"/>
      <c r="V201" s="12"/>
      <c r="W201" s="12"/>
      <c r="X201" s="12"/>
      <c r="Y201" s="129">
        <f>'Rate Tables'!$P$19</f>
        <v>910</v>
      </c>
      <c r="Z201" s="146">
        <f>U198*V198*F198</f>
        <v>0</v>
      </c>
      <c r="AA201" s="125">
        <f>Y201*Z201</f>
        <v>0</v>
      </c>
      <c r="AB201" s="12"/>
      <c r="AC201" s="12"/>
      <c r="AD201" s="12"/>
      <c r="AE201" s="12"/>
      <c r="AF201" s="12"/>
      <c r="AG201" s="12"/>
      <c r="AH201" s="12"/>
      <c r="AI201" s="12"/>
      <c r="AJ201" s="129">
        <f>'Rate Tables'!$P$20</f>
        <v>928.2</v>
      </c>
      <c r="AK201" s="146">
        <f>AG198*AH198*F198</f>
        <v>0</v>
      </c>
      <c r="AL201" s="125">
        <f>AJ201*AK201</f>
        <v>0</v>
      </c>
      <c r="AM201" s="12" t="s">
        <v>244</v>
      </c>
      <c r="AN201" s="12"/>
      <c r="AO201" s="307"/>
      <c r="AP201" s="12"/>
      <c r="AQ201" s="12"/>
      <c r="AR201" s="285"/>
      <c r="AS201" s="12">
        <f>(AR202+AR203)*AS199</f>
        <v>0</v>
      </c>
    </row>
    <row r="202" spans="1:45" ht="13.5" customHeight="1" x14ac:dyDescent="0.25">
      <c r="A202" s="377" t="s">
        <v>431</v>
      </c>
      <c r="B202" s="375" t="str">
        <f>Personnel!E74</f>
        <v>YES</v>
      </c>
      <c r="C202" s="12"/>
      <c r="D202" s="12"/>
      <c r="E202" s="12"/>
      <c r="F202" s="12"/>
      <c r="G202" s="491" t="s">
        <v>559</v>
      </c>
      <c r="H202" s="12">
        <f>AO187</f>
        <v>0</v>
      </c>
      <c r="I202" s="12"/>
      <c r="J202" s="12"/>
      <c r="K202" s="12"/>
      <c r="L202" s="12"/>
      <c r="M202" s="12"/>
      <c r="N202" s="12"/>
      <c r="O202" s="155"/>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f>IF(AR202&gt;=1,1,0)</f>
        <v>0</v>
      </c>
      <c r="AN202" s="12"/>
      <c r="AO202" s="227"/>
      <c r="AP202" s="226"/>
      <c r="AQ202" s="278" t="s">
        <v>96</v>
      </c>
      <c r="AR202" s="285">
        <f>AR176+AR185+AR194</f>
        <v>0</v>
      </c>
      <c r="AS202" s="15"/>
    </row>
    <row r="203" spans="1:45" ht="13.5" customHeight="1" thickBot="1" x14ac:dyDescent="0.3">
      <c r="A203" s="296" t="s">
        <v>439</v>
      </c>
      <c r="B203" s="114" t="s">
        <v>427</v>
      </c>
      <c r="C203" s="12"/>
      <c r="D203" s="12"/>
      <c r="E203" s="12"/>
      <c r="F203" s="12"/>
      <c r="G203" s="491" t="s">
        <v>560</v>
      </c>
      <c r="H203" s="178">
        <f>VLOOKUP(H196,'Lookup Tables'!$L$62:$Y$74,MATCH(G196,'Lookup Tables'!$L$62:$Y$62,FALSE))</f>
        <v>65</v>
      </c>
      <c r="I203" s="12"/>
      <c r="J203" s="12"/>
      <c r="K203" s="12"/>
      <c r="L203" s="12"/>
      <c r="M203" s="12"/>
      <c r="N203" s="12"/>
      <c r="O203" s="155"/>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227"/>
      <c r="AP203" s="224"/>
      <c r="AQ203" s="278" t="s">
        <v>415</v>
      </c>
      <c r="AR203" s="285">
        <f>AR178+AR186+AR196</f>
        <v>0</v>
      </c>
      <c r="AS203" s="15"/>
    </row>
    <row r="204" spans="1:45" ht="13.5" customHeight="1" thickBot="1" x14ac:dyDescent="0.3">
      <c r="A204" s="380">
        <f>Personnel!E75</f>
        <v>0</v>
      </c>
      <c r="B204" s="273">
        <f>Personnel!E76</f>
        <v>0</v>
      </c>
      <c r="C204" s="12"/>
      <c r="D204" s="12"/>
      <c r="E204" s="12"/>
      <c r="F204" s="12"/>
      <c r="G204" s="12"/>
      <c r="H204" s="175">
        <f>VLOOKUP($E$4,'Lookup Tables'!$L$46:$AA$58,MATCH($H$178,'Lookup Tables'!$L$46:$X$46),FALSE)</f>
        <v>12</v>
      </c>
      <c r="I204" s="12"/>
      <c r="J204" s="12"/>
      <c r="K204" s="12"/>
      <c r="L204" s="12"/>
      <c r="M204" s="12"/>
      <c r="N204" s="12"/>
      <c r="O204" s="155"/>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227"/>
      <c r="AP204" s="224"/>
      <c r="AQ204" s="278" t="s">
        <v>185</v>
      </c>
      <c r="AR204" s="285">
        <f>(AR180+AR188+AR198)*AM202</f>
        <v>0</v>
      </c>
      <c r="AS204" s="373">
        <f>AR202+AR203+AR204+AS201</f>
        <v>0</v>
      </c>
    </row>
    <row r="205" spans="1:45" ht="6" customHeight="1" thickBot="1" x14ac:dyDescent="0.3">
      <c r="A205" s="148"/>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c r="AL205" s="149"/>
      <c r="AM205" s="149"/>
      <c r="AN205" s="149"/>
      <c r="AO205" s="280"/>
      <c r="AP205" s="149"/>
      <c r="AQ205" s="149"/>
      <c r="AR205" s="281"/>
      <c r="AS205" s="374"/>
    </row>
    <row r="206" spans="1:45" ht="13.5" customHeight="1" x14ac:dyDescent="0.25">
      <c r="A206" s="257" t="s">
        <v>196</v>
      </c>
      <c r="B206" s="359" t="str">
        <f>Personnel!C82</f>
        <v>12 Month</v>
      </c>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282"/>
      <c r="AP206" s="144"/>
      <c r="AQ206" s="144"/>
      <c r="AR206" s="283"/>
      <c r="AS206" s="12"/>
    </row>
    <row r="207" spans="1:45" ht="13.5" customHeight="1" x14ac:dyDescent="0.25">
      <c r="A207" s="258" t="s">
        <v>174</v>
      </c>
      <c r="B207" s="155"/>
      <c r="C207" s="259" t="s">
        <v>605</v>
      </c>
      <c r="D207" s="12"/>
      <c r="E207" s="12"/>
      <c r="F207" s="12"/>
      <c r="G207" s="12" t="s">
        <v>182</v>
      </c>
      <c r="H207" s="12"/>
      <c r="I207" s="12"/>
      <c r="J207" s="12"/>
      <c r="K207" s="12"/>
      <c r="L207" s="12"/>
      <c r="M207" s="12" t="s">
        <v>167</v>
      </c>
      <c r="N207" s="12"/>
      <c r="O207" s="12">
        <v>21</v>
      </c>
      <c r="P207" s="12"/>
      <c r="Q207" s="12"/>
      <c r="R207" s="12"/>
      <c r="S207" s="12"/>
      <c r="T207" s="12"/>
      <c r="U207" s="12"/>
      <c r="V207" s="12"/>
      <c r="W207" s="12"/>
      <c r="X207" s="12"/>
      <c r="Y207" s="12" t="s">
        <v>168</v>
      </c>
      <c r="Z207" s="12"/>
      <c r="AA207" s="12">
        <v>22</v>
      </c>
      <c r="AB207" s="12"/>
      <c r="AC207" s="12"/>
      <c r="AD207" s="12"/>
      <c r="AE207" s="12"/>
      <c r="AF207" s="12"/>
      <c r="AG207" s="12"/>
      <c r="AH207" s="12"/>
      <c r="AI207" s="12"/>
      <c r="AJ207" s="12" t="s">
        <v>169</v>
      </c>
      <c r="AK207" s="12"/>
      <c r="AL207" s="12">
        <v>23</v>
      </c>
      <c r="AM207" s="12"/>
      <c r="AN207" s="12"/>
      <c r="AO207" s="227"/>
      <c r="AP207" s="12"/>
      <c r="AQ207" s="12"/>
      <c r="AR207" s="275"/>
      <c r="AS207" s="12"/>
    </row>
    <row r="208" spans="1:45" ht="13.5" customHeight="1" x14ac:dyDescent="0.25">
      <c r="A208" s="356">
        <f>Personnel!C83</f>
        <v>0</v>
      </c>
      <c r="B208" s="357">
        <f>Personnel!C84</f>
        <v>0</v>
      </c>
      <c r="C208" s="115">
        <f>(B208*9)*2</f>
        <v>0</v>
      </c>
      <c r="D208" s="12"/>
      <c r="E208" s="12"/>
      <c r="F208" s="12"/>
      <c r="G208" s="12"/>
      <c r="H208" s="12"/>
      <c r="I208" s="12"/>
      <c r="J208" s="12"/>
      <c r="K208" s="12"/>
      <c r="L208" s="12"/>
      <c r="M208" s="12"/>
      <c r="N208" s="12"/>
      <c r="O208" s="12">
        <v>22</v>
      </c>
      <c r="P208" s="12"/>
      <c r="Q208" s="12"/>
      <c r="R208" s="12"/>
      <c r="S208" s="12"/>
      <c r="T208" s="12"/>
      <c r="U208" s="12"/>
      <c r="V208" s="12"/>
      <c r="W208" s="12"/>
      <c r="X208" s="12"/>
      <c r="Y208" s="12"/>
      <c r="Z208" s="12"/>
      <c r="AA208" s="12">
        <v>23</v>
      </c>
      <c r="AB208" s="12"/>
      <c r="AC208" s="12"/>
      <c r="AD208" s="12"/>
      <c r="AE208" s="12"/>
      <c r="AF208" s="12"/>
      <c r="AG208" s="12"/>
      <c r="AH208" s="12"/>
      <c r="AI208" s="12"/>
      <c r="AJ208" s="12"/>
      <c r="AK208" s="12"/>
      <c r="AL208" s="12">
        <v>24</v>
      </c>
      <c r="AM208" s="12"/>
      <c r="AN208" s="12"/>
      <c r="AO208" s="306" t="s">
        <v>412</v>
      </c>
      <c r="AP208" s="348">
        <f>Personnel!G83</f>
        <v>0</v>
      </c>
      <c r="AQ208" s="276" t="s">
        <v>414</v>
      </c>
      <c r="AR208" s="285">
        <f>(N210+Z210+AK210+N212+Z212+AK212)*AM210</f>
        <v>0</v>
      </c>
      <c r="AS208" s="15"/>
    </row>
    <row r="209" spans="1:45" ht="13.5" customHeight="1" x14ac:dyDescent="0.25">
      <c r="A209" s="145"/>
      <c r="B209" s="12"/>
      <c r="C209" s="117" t="s">
        <v>30</v>
      </c>
      <c r="D209" s="12"/>
      <c r="E209" s="13" t="s">
        <v>16</v>
      </c>
      <c r="F209" s="13" t="s">
        <v>42</v>
      </c>
      <c r="G209" s="13" t="s">
        <v>41</v>
      </c>
      <c r="H209" s="65" t="s">
        <v>77</v>
      </c>
      <c r="I209" s="64" t="s">
        <v>90</v>
      </c>
      <c r="J209" s="63" t="s">
        <v>70</v>
      </c>
      <c r="K209" s="52" t="s">
        <v>93</v>
      </c>
      <c r="L209" s="13" t="s">
        <v>35</v>
      </c>
      <c r="M209" s="13" t="s">
        <v>82</v>
      </c>
      <c r="N209" s="13" t="s">
        <v>31</v>
      </c>
      <c r="O209" s="14" t="s">
        <v>69</v>
      </c>
      <c r="P209" s="13" t="s">
        <v>72</v>
      </c>
      <c r="Q209" s="65" t="s">
        <v>80</v>
      </c>
      <c r="R209" s="62" t="s">
        <v>81</v>
      </c>
      <c r="S209" s="65" t="s">
        <v>77</v>
      </c>
      <c r="T209" s="600" t="s">
        <v>83</v>
      </c>
      <c r="U209" s="63" t="s">
        <v>70</v>
      </c>
      <c r="V209" s="13" t="s">
        <v>91</v>
      </c>
      <c r="W209" s="13" t="s">
        <v>43</v>
      </c>
      <c r="X209" s="13" t="s">
        <v>53</v>
      </c>
      <c r="Y209" s="13" t="s">
        <v>68</v>
      </c>
      <c r="Z209" s="13" t="s">
        <v>32</v>
      </c>
      <c r="AA209" s="14" t="s">
        <v>69</v>
      </c>
      <c r="AB209" s="13" t="s">
        <v>72</v>
      </c>
      <c r="AC209" s="13" t="s">
        <v>80</v>
      </c>
      <c r="AD209" s="62" t="s">
        <v>81</v>
      </c>
      <c r="AE209" s="65" t="s">
        <v>77</v>
      </c>
      <c r="AF209" s="63" t="s">
        <v>70</v>
      </c>
      <c r="AG209" s="13" t="s">
        <v>92</v>
      </c>
      <c r="AH209" s="13" t="s">
        <v>44</v>
      </c>
      <c r="AI209" s="13" t="s">
        <v>78</v>
      </c>
      <c r="AJ209" s="13" t="s">
        <v>68</v>
      </c>
      <c r="AK209" s="13" t="s">
        <v>33</v>
      </c>
      <c r="AL209" s="14" t="s">
        <v>69</v>
      </c>
      <c r="AM209" s="13" t="s">
        <v>159</v>
      </c>
      <c r="AN209" s="12"/>
      <c r="AO209" s="227"/>
      <c r="AP209" s="349"/>
      <c r="AQ209" s="227"/>
      <c r="AR209" s="285"/>
      <c r="AS209" s="15"/>
    </row>
    <row r="210" spans="1:45" ht="13.5" customHeight="1" x14ac:dyDescent="0.25">
      <c r="A210" s="145"/>
      <c r="B210" s="12"/>
      <c r="C210" s="115"/>
      <c r="D210" s="12"/>
      <c r="E210" s="118">
        <f>AP208</f>
        <v>0</v>
      </c>
      <c r="F210" s="19">
        <f>IF($D$4=2022,1,0)</f>
        <v>1</v>
      </c>
      <c r="G210" s="178">
        <f>IF($B234="Yes",$C$5,$I233)</f>
        <v>12</v>
      </c>
      <c r="H210" s="36">
        <f>VLOOKUP(H232,'Lookup Tables'!$A$22:$B$33,2,FALSE)</f>
        <v>3</v>
      </c>
      <c r="I210" s="192">
        <f>VLOOKUP($E$4,'Lookup Tables'!$AB$46:$AN$58,MATCH($H210,'Lookup Tables'!$AB$46:$AN$46),FALSE)</f>
        <v>12</v>
      </c>
      <c r="J210" s="33">
        <f>VLOOKUP(H210,'Lookup Tables'!$A$3:$AA$16,MATCH(PersonCalcYr1!$G210,'Lookup Tables'!$A$3:$AA$3),FALSE)</f>
        <v>1.5161</v>
      </c>
      <c r="K210" s="54">
        <f>VLOOKUP($H232,'Lookup Tables'!$K$23:$L$34,2,FALSE)</f>
        <v>0</v>
      </c>
      <c r="L210" s="12">
        <f>IF(G210&lt;=K210,G210,K210)</f>
        <v>0</v>
      </c>
      <c r="M210" s="195">
        <f>IF(12-I210&gt;=1,1,0)</f>
        <v>0</v>
      </c>
      <c r="N210" s="15">
        <f>(('Rate Tables'!B81*PersonCalcYr1!E210)*PersonCalcYr1!L210)*PersonCalcYr1!F210*M210</f>
        <v>0</v>
      </c>
      <c r="O210" s="28">
        <f>G210-((J210+L210)*M210)</f>
        <v>12</v>
      </c>
      <c r="P210" s="8">
        <f>IF(O210&lt;0,O210*0,1)*O210</f>
        <v>12</v>
      </c>
      <c r="Q210" s="120">
        <f>VLOOKUP($H232,'Lookup Tables'!$A$22:$B$33,2,FALSE)+(L210*M210)+(J210*M210)</f>
        <v>3</v>
      </c>
      <c r="R210" s="121" t="str">
        <f>VLOOKUP(Q210,'Lookup Tables'!$A$38:$B$151,2,FALSE)</f>
        <v>Sept</v>
      </c>
      <c r="S210" s="36">
        <f>VLOOKUP(R210,'Lookup Tables'!$A$22:$B$33,2,FALSE)</f>
        <v>3</v>
      </c>
      <c r="T210" s="599">
        <f>VLOOKUP($E$4,'Lookup Tables'!$AB$63:$AN$75,MATCH(PersonCalcYr1!$S210,'Lookup Tables'!$AB$63:$AN$63),FALSE)</f>
        <v>0.5161</v>
      </c>
      <c r="U210" s="34">
        <f>VLOOKUP(S210,'Lookup Tables'!$A$3:$AA$16,MATCH(PersonCalcYr1!$P210,'Lookup Tables'!$A$3:$AA$3),FALSE)</f>
        <v>1.5161</v>
      </c>
      <c r="V210" s="12">
        <f>9-T210</f>
        <v>8.4839000000000002</v>
      </c>
      <c r="W210" s="122">
        <f>P210-U210</f>
        <v>10.4839</v>
      </c>
      <c r="X210" s="119">
        <f>IF(V210&lt;=W210,V210,W210)</f>
        <v>8.4839000000000002</v>
      </c>
      <c r="Y210" s="195">
        <f>IF(12-T210-U210-X210&gt;=0,1,0)</f>
        <v>1</v>
      </c>
      <c r="Z210" s="20">
        <f>((('Rate Tables'!C81*$E210)*PersonCalcYr1!$X210)*$F210)*Y210</f>
        <v>0</v>
      </c>
      <c r="AA210" s="197">
        <f>O210-(((U210*U214)+X210)*Y210)</f>
        <v>2</v>
      </c>
      <c r="AB210" s="8">
        <f>IF(AA210&lt;0,AA210*0,1)*AA210</f>
        <v>2</v>
      </c>
      <c r="AC210" s="601">
        <f>S210+(X210*Y210)+((U210*U214)*Y210)</f>
        <v>13</v>
      </c>
      <c r="AD210" s="121" t="str">
        <f>VLOOKUP(AC210,'Lookup Tables'!$A$38:$B$151,2,FALSE)</f>
        <v>July</v>
      </c>
      <c r="AE210" s="36">
        <f>VLOOKUP(AD210,'Lookup Tables'!$A$22:$B$33,2,FALSE)</f>
        <v>1</v>
      </c>
      <c r="AF210" s="34">
        <f>VLOOKUP(AE210,'Lookup Tables'!$A$3:$AA$16,MATCH(PersonCalcYr1!AB210,'Lookup Tables'!$A$3:$AA$3),FALSE)</f>
        <v>1.4839</v>
      </c>
      <c r="AG210" s="12">
        <v>9</v>
      </c>
      <c r="AH210" s="122">
        <f>AB210-AF210</f>
        <v>0.5161</v>
      </c>
      <c r="AI210" s="119">
        <f>IF(AG210&lt;=AH210,AG210,AH210)</f>
        <v>0.5161</v>
      </c>
      <c r="AJ210" s="119">
        <f>IF((AG210+AF210)&lt;=0,0,1)</f>
        <v>1</v>
      </c>
      <c r="AK210" s="124">
        <f>((('Rate Tables'!D81*$E210)*PersonCalcYr1!AI210)*$F210)*AJ210</f>
        <v>0</v>
      </c>
      <c r="AL210" s="28">
        <f>AB210-AF210-AI210</f>
        <v>0</v>
      </c>
      <c r="AM210" s="19">
        <f>VLOOKUP(B206,'Lookup Tables'!$AK$22:$AM$24,2,0)</f>
        <v>0</v>
      </c>
      <c r="AN210" s="12"/>
      <c r="AO210" s="227"/>
      <c r="AP210" s="350"/>
      <c r="AQ210" s="276" t="s">
        <v>184</v>
      </c>
      <c r="AR210" s="285">
        <f>AR208*'Rate Tables'!P$8</f>
        <v>0</v>
      </c>
      <c r="AS210" s="15"/>
    </row>
    <row r="211" spans="1:45" ht="13.5" customHeight="1" x14ac:dyDescent="0.25">
      <c r="A211" s="145"/>
      <c r="B211" s="12"/>
      <c r="C211" s="117" t="s">
        <v>597</v>
      </c>
      <c r="D211" s="12"/>
      <c r="E211" s="13" t="s">
        <v>16</v>
      </c>
      <c r="F211" s="13" t="s">
        <v>42</v>
      </c>
      <c r="G211" s="13" t="s">
        <v>41</v>
      </c>
      <c r="H211" s="65" t="s">
        <v>77</v>
      </c>
      <c r="I211" s="64" t="s">
        <v>90</v>
      </c>
      <c r="J211" s="63" t="s">
        <v>70</v>
      </c>
      <c r="K211" s="52" t="s">
        <v>109</v>
      </c>
      <c r="L211" s="13" t="s">
        <v>53</v>
      </c>
      <c r="M211" s="13" t="s">
        <v>82</v>
      </c>
      <c r="N211" s="13" t="s">
        <v>32</v>
      </c>
      <c r="O211" s="14" t="s">
        <v>69</v>
      </c>
      <c r="P211" s="13" t="s">
        <v>72</v>
      </c>
      <c r="Q211" s="65" t="s">
        <v>80</v>
      </c>
      <c r="R211" s="62" t="s">
        <v>81</v>
      </c>
      <c r="S211" s="65" t="s">
        <v>77</v>
      </c>
      <c r="T211" s="600" t="s">
        <v>83</v>
      </c>
      <c r="U211" s="63" t="s">
        <v>70</v>
      </c>
      <c r="V211" s="13" t="s">
        <v>92</v>
      </c>
      <c r="W211" s="13" t="s">
        <v>44</v>
      </c>
      <c r="X211" s="13" t="s">
        <v>78</v>
      </c>
      <c r="Y211" s="13" t="s">
        <v>68</v>
      </c>
      <c r="Z211" s="13" t="s">
        <v>33</v>
      </c>
      <c r="AA211" s="14" t="s">
        <v>69</v>
      </c>
      <c r="AB211" s="13" t="s">
        <v>72</v>
      </c>
      <c r="AC211" s="13" t="s">
        <v>80</v>
      </c>
      <c r="AD211" s="62" t="s">
        <v>81</v>
      </c>
      <c r="AE211" s="65" t="s">
        <v>77</v>
      </c>
      <c r="AF211" s="63" t="s">
        <v>70</v>
      </c>
      <c r="AG211" s="13" t="s">
        <v>94</v>
      </c>
      <c r="AH211" s="13" t="s">
        <v>45</v>
      </c>
      <c r="AI211" s="13" t="s">
        <v>79</v>
      </c>
      <c r="AJ211" s="13" t="s">
        <v>68</v>
      </c>
      <c r="AK211" s="13" t="s">
        <v>34</v>
      </c>
      <c r="AL211" s="14" t="s">
        <v>69</v>
      </c>
      <c r="AM211" s="13"/>
      <c r="AN211" s="12"/>
      <c r="AO211" s="227"/>
      <c r="AP211" s="351"/>
      <c r="AQ211" s="227"/>
      <c r="AR211" s="285"/>
      <c r="AS211" s="15"/>
    </row>
    <row r="212" spans="1:45" ht="13.5" customHeight="1" x14ac:dyDescent="0.25">
      <c r="A212" s="145"/>
      <c r="B212" s="12"/>
      <c r="C212" s="115"/>
      <c r="D212" s="12"/>
      <c r="E212" s="118">
        <f>AP208</f>
        <v>0</v>
      </c>
      <c r="F212" s="19">
        <f>IF($D$4=2023,1,0)</f>
        <v>0</v>
      </c>
      <c r="G212" s="178">
        <f>IF($B234="Yes",$C$5,$I233)</f>
        <v>12</v>
      </c>
      <c r="H212" s="36">
        <f>VLOOKUP(H232,'Lookup Tables'!$A$22:$B$33,2,FALSE)</f>
        <v>3</v>
      </c>
      <c r="I212" s="192">
        <f>VLOOKUP($E$4,'Lookup Tables'!$AB$46:$AN$58,MATCH($H212,'Lookup Tables'!$AB$46:$AN$46),FALSE)</f>
        <v>12</v>
      </c>
      <c r="J212" s="33">
        <f>VLOOKUP(H212,'Lookup Tables'!$A$3:$AA$16,MATCH(PersonCalcYr1!$G212,'Lookup Tables'!$A$3:$AA$3),FALSE)</f>
        <v>1.5161</v>
      </c>
      <c r="K212" s="54">
        <f>VLOOKUP($H232,'Lookup Tables'!$K$23:$L$34,2,FALSE)</f>
        <v>0</v>
      </c>
      <c r="L212" s="12">
        <f>IF(G212&lt;=K212,G212,K212)</f>
        <v>0</v>
      </c>
      <c r="M212" s="195">
        <f>IF(12-I212&gt;=1,1,0)</f>
        <v>0</v>
      </c>
      <c r="N212" s="15">
        <f>(('Rate Tables'!C81*PersonCalcYr1!E212)*PersonCalcYr1!L212)*PersonCalcYr1!F212*M212</f>
        <v>0</v>
      </c>
      <c r="O212" s="28">
        <f>G212-((J212+L212)*M212)</f>
        <v>12</v>
      </c>
      <c r="P212" s="8">
        <f>IF(O212&lt;0,O212*0,1)*O212</f>
        <v>12</v>
      </c>
      <c r="Q212" s="120">
        <f>VLOOKUP($H232,'Lookup Tables'!$A$22:$B$33,2,FALSE)+(L212*M212)+(J212*M212)</f>
        <v>3</v>
      </c>
      <c r="R212" s="121" t="str">
        <f>VLOOKUP(Q212,'Lookup Tables'!$A$38:$B$151,2,FALSE)</f>
        <v>Sept</v>
      </c>
      <c r="S212" s="36">
        <f>VLOOKUP(R212,'Lookup Tables'!$A$22:$B$33,2,FALSE)</f>
        <v>3</v>
      </c>
      <c r="T212" s="599">
        <f>VLOOKUP($E$4,'Lookup Tables'!$AB$63:$AN$75,MATCH(PersonCalcYr1!$S212,'Lookup Tables'!$AB$63:$AN$63),FALSE)</f>
        <v>0.5161</v>
      </c>
      <c r="U212" s="34">
        <f>VLOOKUP(S212,'Lookup Tables'!$A$3:$AA$16,MATCH(PersonCalcYr1!$P212,'Lookup Tables'!$A$3:$AA$3),FALSE)</f>
        <v>1.5161</v>
      </c>
      <c r="V212" s="12">
        <f>9-T212</f>
        <v>8.4839000000000002</v>
      </c>
      <c r="W212" s="122">
        <f>P212-U212</f>
        <v>10.4839</v>
      </c>
      <c r="X212" s="119">
        <f>IF(V212&lt;=W212,V212,W212)</f>
        <v>8.4839000000000002</v>
      </c>
      <c r="Y212" s="195">
        <f>IF(12-T212-U212-X212&gt;=0,1,0)</f>
        <v>1</v>
      </c>
      <c r="Z212" s="20">
        <f>((('Rate Tables'!D81*$E212)*PersonCalcYr1!$X212)*$F212)*Y212</f>
        <v>0</v>
      </c>
      <c r="AA212" s="197">
        <f>O212-(((U212*U214)+X212)*Y212)</f>
        <v>2</v>
      </c>
      <c r="AB212" s="8">
        <f>IF(AA212&lt;0,AA212*0,1)*AA212</f>
        <v>2</v>
      </c>
      <c r="AC212" s="601">
        <f>S212+(X212*Y212)+((U212*U214)*Y212)</f>
        <v>13</v>
      </c>
      <c r="AD212" s="121" t="str">
        <f>VLOOKUP(AC212,'Lookup Tables'!$A$38:$B$151,2,FALSE)</f>
        <v>July</v>
      </c>
      <c r="AE212" s="36">
        <f>VLOOKUP(AD212,'Lookup Tables'!$A$22:$B$33,2,FALSE)</f>
        <v>1</v>
      </c>
      <c r="AF212" s="34">
        <f>VLOOKUP(AE212,'Lookup Tables'!$A$3:$AA$16,MATCH(PersonCalcYr1!AB212,'Lookup Tables'!$A$3:$AA$3),FALSE)</f>
        <v>1.4839</v>
      </c>
      <c r="AG212" s="12">
        <v>9</v>
      </c>
      <c r="AH212" s="122">
        <f>AB212-AF212</f>
        <v>0.5161</v>
      </c>
      <c r="AI212" s="119">
        <f>IF(AG212&lt;=AH212,AG212,AH212)</f>
        <v>0.5161</v>
      </c>
      <c r="AJ212" s="119">
        <f>IF((AG212+AF212)&lt;=0,0,1)</f>
        <v>1</v>
      </c>
      <c r="AK212" s="124">
        <f>((('Rate Tables'!E81*$E212)*PersonCalcYr1!AI212)*$F212)*AJ212</f>
        <v>0</v>
      </c>
      <c r="AL212" s="28">
        <f>AB212-AF212-AI212</f>
        <v>0</v>
      </c>
      <c r="AM212" s="19"/>
      <c r="AN212" s="12"/>
      <c r="AO212" s="1199" t="s">
        <v>580</v>
      </c>
      <c r="AP212" s="349" t="s">
        <v>643</v>
      </c>
      <c r="AQ212" s="276" t="s">
        <v>134</v>
      </c>
      <c r="AR212" s="285">
        <f>(((O214+O215+AA214+AA215+AL214+AL215)*AM214)*AR213)*AP215</f>
        <v>0</v>
      </c>
      <c r="AS212" s="15"/>
    </row>
    <row r="213" spans="1:45" ht="13.5" customHeight="1" x14ac:dyDescent="0.25">
      <c r="A213" s="145"/>
      <c r="B213" s="12"/>
      <c r="C213" s="115"/>
      <c r="D213" s="12"/>
      <c r="E213" s="118"/>
      <c r="F213" s="19"/>
      <c r="G213" s="12"/>
      <c r="H213" s="12"/>
      <c r="I213" s="141"/>
      <c r="J213" s="228" t="s">
        <v>183</v>
      </c>
      <c r="K213" s="13" t="s">
        <v>181</v>
      </c>
      <c r="L213" s="13" t="s">
        <v>179</v>
      </c>
      <c r="M213" s="13" t="s">
        <v>180</v>
      </c>
      <c r="N213" s="660" t="s">
        <v>128</v>
      </c>
      <c r="O213" s="135" t="s">
        <v>130</v>
      </c>
      <c r="P213" s="8"/>
      <c r="Q213" s="123"/>
      <c r="R213" s="12"/>
      <c r="S213" s="12"/>
      <c r="T213" s="12"/>
      <c r="U213" s="12"/>
      <c r="V213" s="228" t="s">
        <v>183</v>
      </c>
      <c r="W213" s="13" t="s">
        <v>181</v>
      </c>
      <c r="X213" s="13" t="s">
        <v>179</v>
      </c>
      <c r="Y213" s="13" t="s">
        <v>180</v>
      </c>
      <c r="Z213" s="13" t="s">
        <v>128</v>
      </c>
      <c r="AA213" s="135" t="s">
        <v>130</v>
      </c>
      <c r="AB213" s="8"/>
      <c r="AC213" s="123"/>
      <c r="AD213" s="12"/>
      <c r="AE213" s="12"/>
      <c r="AF213" s="12"/>
      <c r="AG213" s="228" t="s">
        <v>183</v>
      </c>
      <c r="AH213" s="13" t="s">
        <v>181</v>
      </c>
      <c r="AI213" s="13" t="s">
        <v>179</v>
      </c>
      <c r="AJ213" s="13" t="s">
        <v>180</v>
      </c>
      <c r="AK213" s="52" t="s">
        <v>128</v>
      </c>
      <c r="AL213" s="135" t="s">
        <v>130</v>
      </c>
      <c r="AM213" s="13" t="s">
        <v>159</v>
      </c>
      <c r="AN213" s="12"/>
      <c r="AO213" s="1199"/>
      <c r="AP213" s="350" t="s">
        <v>644</v>
      </c>
      <c r="AQ213" s="227" t="s">
        <v>582</v>
      </c>
      <c r="AR213" s="663">
        <f>IF(AR208&gt;0,1,0)</f>
        <v>0</v>
      </c>
      <c r="AS213" s="15"/>
    </row>
    <row r="214" spans="1:45" ht="13.5" customHeight="1" x14ac:dyDescent="0.25">
      <c r="A214" s="145"/>
      <c r="B214" s="227"/>
      <c r="C214" s="115"/>
      <c r="D214" s="12"/>
      <c r="E214" s="118"/>
      <c r="F214" s="19"/>
      <c r="G214" s="12"/>
      <c r="H214" s="12"/>
      <c r="I214" s="141"/>
      <c r="J214" s="141">
        <f>IF($AO219&gt;0,1,0)</f>
        <v>0</v>
      </c>
      <c r="K214" s="12">
        <f>IF($AO219=0,1,0)</f>
        <v>1</v>
      </c>
      <c r="L214" s="129">
        <f>'Rate Tables'!$P$17</f>
        <v>910</v>
      </c>
      <c r="M214" s="129">
        <f>'Rate Tables'!$Q$17</f>
        <v>933.34</v>
      </c>
      <c r="N214" s="661">
        <f>ROUNDUP(N216,0)</f>
        <v>0</v>
      </c>
      <c r="O214" s="136">
        <f>((J214*L214)+(K214*M214))*N214</f>
        <v>0</v>
      </c>
      <c r="P214" s="8"/>
      <c r="Q214" s="123"/>
      <c r="R214" s="12"/>
      <c r="S214" s="12"/>
      <c r="T214" s="605" t="s">
        <v>573</v>
      </c>
      <c r="U214" s="606">
        <f>VLOOKUP($E$4,'Lookup Tables'!$L$79:$X$91,MATCH(PersonCalcYr1!$S210,'Lookup Tables'!$L$79:$X$79),FALSE)</f>
        <v>1</v>
      </c>
      <c r="V214" s="141">
        <f>IF($AO219&gt;0,1,0)</f>
        <v>0</v>
      </c>
      <c r="W214" s="12">
        <f>IF($AO219=0,1,0)</f>
        <v>1</v>
      </c>
      <c r="X214" s="129">
        <f>'Rate Tables'!$P$18</f>
        <v>910</v>
      </c>
      <c r="Y214" s="129">
        <f>'Rate Tables'!$Q$18</f>
        <v>933.34</v>
      </c>
      <c r="Z214" s="657">
        <f>IF(Y216&lt;=AA217,Y216,AA217)</f>
        <v>9</v>
      </c>
      <c r="AA214" s="136">
        <f>((V214*X214)+(W214*Y214))*Z214</f>
        <v>8400.06</v>
      </c>
      <c r="AB214" s="8"/>
      <c r="AC214" s="123"/>
      <c r="AD214" s="12"/>
      <c r="AE214" s="12"/>
      <c r="AF214" s="12"/>
      <c r="AG214" s="141">
        <f>IF($AO219&gt;0,1,0)</f>
        <v>0</v>
      </c>
      <c r="AH214" s="12">
        <f>IF($AO219=0,1,0)</f>
        <v>1</v>
      </c>
      <c r="AI214" s="129">
        <f>'Rate Tables'!$P$19</f>
        <v>910</v>
      </c>
      <c r="AJ214" s="129">
        <f>'Rate Tables'!$Q$19</f>
        <v>933.34</v>
      </c>
      <c r="AK214" s="657">
        <f>IF(AJ216&lt;=AL216,AJ216,AL216)</f>
        <v>0</v>
      </c>
      <c r="AL214" s="136">
        <f>((AG214*AI214)+(AH214*AJ214))*AK214</f>
        <v>0</v>
      </c>
      <c r="AM214" s="19">
        <f>VLOOKUP(B206,'Lookup Tables'!$AK$22:$AM$24,2,0)</f>
        <v>0</v>
      </c>
      <c r="AN214" s="12"/>
      <c r="AO214" s="307">
        <f>N216+N217+Z217+Z218+AK216+AK217</f>
        <v>9</v>
      </c>
      <c r="AP214" s="358" t="str">
        <f>IF(AP208=50%,"no",Personnel!G86)</f>
        <v>No</v>
      </c>
      <c r="AQ214" s="12"/>
      <c r="AR214" s="285"/>
      <c r="AS214" s="15"/>
    </row>
    <row r="215" spans="1:45" ht="13.5" customHeight="1" x14ac:dyDescent="0.25">
      <c r="A215" s="145"/>
      <c r="B215" s="12"/>
      <c r="C215" s="115"/>
      <c r="D215" s="12"/>
      <c r="E215" s="126"/>
      <c r="F215" s="19"/>
      <c r="G215" s="12"/>
      <c r="H215" s="12"/>
      <c r="I215" s="12"/>
      <c r="J215" s="141">
        <f>IF($AO219&gt;0,1,0)</f>
        <v>0</v>
      </c>
      <c r="K215" s="12">
        <f>IF($AO219=0,1,0)</f>
        <v>1</v>
      </c>
      <c r="L215" s="129">
        <f>'Rate Tables'!$P$18</f>
        <v>910</v>
      </c>
      <c r="M215" s="129">
        <f>'Rate Tables'!$Q$18</f>
        <v>933.34</v>
      </c>
      <c r="N215" s="661">
        <f>ROUNDUP(N217,0)</f>
        <v>0</v>
      </c>
      <c r="O215" s="136">
        <f>((J215*L215)+(K215*M215))*N215</f>
        <v>0</v>
      </c>
      <c r="P215" s="19"/>
      <c r="Q215" s="19"/>
      <c r="R215" s="19"/>
      <c r="S215" s="19"/>
      <c r="T215" s="19"/>
      <c r="U215" s="12"/>
      <c r="V215" s="141">
        <f>IF($AO219&gt;0,1,0)</f>
        <v>0</v>
      </c>
      <c r="W215" s="12">
        <f>IF($AO219=0,1,0)</f>
        <v>1</v>
      </c>
      <c r="X215" s="129">
        <f>'Rate Tables'!$P$19</f>
        <v>910</v>
      </c>
      <c r="Y215" s="129">
        <f>'Rate Tables'!$Q$19</f>
        <v>933.34</v>
      </c>
      <c r="Z215" s="657">
        <f>IF(Y216&lt;=AA218,Y216,AA218)</f>
        <v>0</v>
      </c>
      <c r="AA215" s="136">
        <f>((V215*X215)+(W215*Y215))*Z215</f>
        <v>0</v>
      </c>
      <c r="AB215" s="20"/>
      <c r="AC215" s="20"/>
      <c r="AD215" s="20"/>
      <c r="AE215" s="20"/>
      <c r="AF215" s="123"/>
      <c r="AG215" s="141">
        <f>IF($AO219&gt;0,1,0)</f>
        <v>0</v>
      </c>
      <c r="AH215" s="12">
        <f>IF($AO219=0,1,0)</f>
        <v>1</v>
      </c>
      <c r="AI215" s="129">
        <f>'Rate Tables'!$P$20</f>
        <v>928.2</v>
      </c>
      <c r="AJ215" s="129">
        <f>'Rate Tables'!$Q$20</f>
        <v>952</v>
      </c>
      <c r="AK215" s="657">
        <f>IF(AJ216&lt;=AL217,AJ216,AL217)</f>
        <v>0</v>
      </c>
      <c r="AL215" s="136">
        <f>((AG215*AI215)+(AH215*AJ215))*AK215</f>
        <v>0</v>
      </c>
      <c r="AM215" s="19"/>
      <c r="AN215" s="12"/>
      <c r="AO215" s="307">
        <f>ROUNDUP(AO214,0)</f>
        <v>9</v>
      </c>
      <c r="AP215" s="349">
        <f>IF(AP214="yes",0.5,1)</f>
        <v>1</v>
      </c>
      <c r="AQ215" s="12"/>
      <c r="AR215" s="285"/>
      <c r="AS215" s="15"/>
    </row>
    <row r="216" spans="1:45" ht="13.5" customHeight="1" x14ac:dyDescent="0.25">
      <c r="A216" s="145"/>
      <c r="B216" s="12"/>
      <c r="C216" s="115"/>
      <c r="D216" s="12"/>
      <c r="E216" s="126"/>
      <c r="F216" s="19"/>
      <c r="G216" s="12" t="s">
        <v>585</v>
      </c>
      <c r="H216" s="12"/>
      <c r="I216" s="12"/>
      <c r="J216" s="141"/>
      <c r="K216" s="12"/>
      <c r="L216" s="129"/>
      <c r="M216" s="129"/>
      <c r="N216" s="661">
        <f>L210*M210*F210</f>
        <v>0</v>
      </c>
      <c r="O216" s="136"/>
      <c r="P216" s="19"/>
      <c r="Q216" s="19"/>
      <c r="R216" s="19"/>
      <c r="S216" s="19"/>
      <c r="T216" s="19"/>
      <c r="U216" s="12"/>
      <c r="V216" s="141"/>
      <c r="W216" s="12"/>
      <c r="X216" s="653" t="s">
        <v>581</v>
      </c>
      <c r="Y216" s="653">
        <f>AO215-N214-N215</f>
        <v>9</v>
      </c>
      <c r="Z216" s="657"/>
      <c r="AA216" s="125"/>
      <c r="AB216" s="20"/>
      <c r="AC216" s="20"/>
      <c r="AD216" s="20"/>
      <c r="AE216" s="20"/>
      <c r="AF216" s="123"/>
      <c r="AG216" s="141"/>
      <c r="AH216" s="12"/>
      <c r="AI216" s="653" t="s">
        <v>581</v>
      </c>
      <c r="AJ216" s="653">
        <f>Y216-Z214-Z215</f>
        <v>0</v>
      </c>
      <c r="AK216" s="654">
        <f>AI210*AJ210*F210</f>
        <v>0.5161</v>
      </c>
      <c r="AL216" s="655">
        <f>ROUNDUP(AK216,0)</f>
        <v>1</v>
      </c>
      <c r="AM216" s="19"/>
      <c r="AN216" s="12"/>
      <c r="AO216" s="307"/>
      <c r="AP216" s="349"/>
      <c r="AQ216" s="12"/>
      <c r="AR216" s="285"/>
      <c r="AS216" s="15"/>
    </row>
    <row r="217" spans="1:45" ht="13.5" customHeight="1" x14ac:dyDescent="0.25">
      <c r="A217" s="145"/>
      <c r="B217" s="12"/>
      <c r="C217" s="259" t="s">
        <v>606</v>
      </c>
      <c r="D217" s="12"/>
      <c r="E217" s="126"/>
      <c r="F217" s="19"/>
      <c r="G217" s="12"/>
      <c r="H217" s="12"/>
      <c r="I217" s="12"/>
      <c r="J217" s="12"/>
      <c r="K217" s="12"/>
      <c r="L217" s="12"/>
      <c r="M217" s="12"/>
      <c r="N217" s="662">
        <f>L212*M212*F212</f>
        <v>0</v>
      </c>
      <c r="O217" s="18"/>
      <c r="P217" s="19"/>
      <c r="Q217" s="19"/>
      <c r="R217" s="19"/>
      <c r="S217" s="19"/>
      <c r="T217" s="19"/>
      <c r="U217" s="12"/>
      <c r="V217" s="122"/>
      <c r="W217" s="122"/>
      <c r="X217" s="656"/>
      <c r="Y217" s="657"/>
      <c r="Z217" s="654">
        <f>X210*Y210*F210</f>
        <v>8.4839000000000002</v>
      </c>
      <c r="AA217" s="655">
        <f>ROUNDUP(Z217,0)</f>
        <v>9</v>
      </c>
      <c r="AB217" s="20"/>
      <c r="AC217" s="20"/>
      <c r="AD217" s="20"/>
      <c r="AE217" s="20"/>
      <c r="AF217" s="123"/>
      <c r="AG217" s="122"/>
      <c r="AH217" s="122"/>
      <c r="AI217" s="656"/>
      <c r="AJ217" s="656"/>
      <c r="AK217" s="658">
        <f>AI212*AJ212*F212</f>
        <v>0</v>
      </c>
      <c r="AL217" s="659">
        <f>ROUNDUP(AK217,0)</f>
        <v>0</v>
      </c>
      <c r="AM217" s="19"/>
      <c r="AN217" s="12"/>
      <c r="AO217" s="370" t="s">
        <v>411</v>
      </c>
      <c r="AP217" s="352" t="str">
        <f>Personnel!G84</f>
        <v>None</v>
      </c>
      <c r="AQ217" s="276" t="s">
        <v>117</v>
      </c>
      <c r="AR217" s="285">
        <f>(N219+N221+W219+W221+AJ219+AJ221)*AM219</f>
        <v>0</v>
      </c>
      <c r="AS217" s="15"/>
    </row>
    <row r="218" spans="1:45" ht="13.5" customHeight="1" x14ac:dyDescent="0.25">
      <c r="A218" s="145"/>
      <c r="B218" s="12"/>
      <c r="C218" s="117" t="s">
        <v>30</v>
      </c>
      <c r="D218" s="12"/>
      <c r="E218" s="13" t="s">
        <v>84</v>
      </c>
      <c r="F218" s="13" t="s">
        <v>42</v>
      </c>
      <c r="G218" s="13" t="s">
        <v>41</v>
      </c>
      <c r="H218" s="65" t="s">
        <v>77</v>
      </c>
      <c r="I218" s="137" t="s">
        <v>101</v>
      </c>
      <c r="J218" s="139" t="s">
        <v>102</v>
      </c>
      <c r="K218" s="127" t="s">
        <v>98</v>
      </c>
      <c r="L218" s="13" t="s">
        <v>100</v>
      </c>
      <c r="M218" s="13" t="s">
        <v>82</v>
      </c>
      <c r="N218" s="13" t="s">
        <v>31</v>
      </c>
      <c r="O218" s="14" t="s">
        <v>69</v>
      </c>
      <c r="P218" s="13" t="s">
        <v>72</v>
      </c>
      <c r="Q218" s="13" t="s">
        <v>103</v>
      </c>
      <c r="R218" s="65" t="s">
        <v>77</v>
      </c>
      <c r="S218" s="137" t="s">
        <v>101</v>
      </c>
      <c r="T218" s="139" t="s">
        <v>102</v>
      </c>
      <c r="U218" s="12" t="s">
        <v>98</v>
      </c>
      <c r="V218" s="13" t="s">
        <v>100</v>
      </c>
      <c r="W218" s="13" t="s">
        <v>32</v>
      </c>
      <c r="X218" s="13" t="s">
        <v>69</v>
      </c>
      <c r="Y218" s="13"/>
      <c r="Z218" s="658">
        <f>X212*Y212*F212</f>
        <v>0</v>
      </c>
      <c r="AA218" s="659">
        <f>ROUNDUP(Z218,0)</f>
        <v>0</v>
      </c>
      <c r="AB218" s="13" t="s">
        <v>72</v>
      </c>
      <c r="AC218" s="13" t="s">
        <v>103</v>
      </c>
      <c r="AD218" s="13"/>
      <c r="AE218" s="65" t="s">
        <v>77</v>
      </c>
      <c r="AF218" s="137" t="s">
        <v>101</v>
      </c>
      <c r="AG218" s="139" t="s">
        <v>102</v>
      </c>
      <c r="AH218" s="12" t="s">
        <v>98</v>
      </c>
      <c r="AI218" s="13" t="s">
        <v>100</v>
      </c>
      <c r="AJ218" s="13" t="s">
        <v>33</v>
      </c>
      <c r="AK218" s="13" t="s">
        <v>69</v>
      </c>
      <c r="AL218" s="18"/>
      <c r="AM218" s="13" t="s">
        <v>159</v>
      </c>
      <c r="AN218" s="12"/>
      <c r="AO218" s="276" t="s">
        <v>95</v>
      </c>
      <c r="AP218" s="349"/>
      <c r="AQ218" s="276" t="s">
        <v>186</v>
      </c>
      <c r="AR218" s="285">
        <f>AR217*'Rate Tables'!P$8</f>
        <v>0</v>
      </c>
      <c r="AS218" s="15"/>
    </row>
    <row r="219" spans="1:45" ht="13.5" customHeight="1" x14ac:dyDescent="0.25">
      <c r="A219" s="145"/>
      <c r="B219" s="12"/>
      <c r="C219" s="115"/>
      <c r="D219" s="12"/>
      <c r="E219" s="211">
        <f>IF(H234&lt;=H235,H234,H235)</f>
        <v>0</v>
      </c>
      <c r="F219" s="19">
        <f>IF($D$4=2022,1,0)</f>
        <v>1</v>
      </c>
      <c r="G219" s="178">
        <f>IF($B234="Yes",$C$5,$I233)</f>
        <v>12</v>
      </c>
      <c r="H219" s="36">
        <f>H210</f>
        <v>3</v>
      </c>
      <c r="I219" s="138">
        <f>VLOOKUP(J210,'Lookup Tables'!$AB$22:$AC$31,2,FALSE)</f>
        <v>32</v>
      </c>
      <c r="J219" s="140">
        <f>VLOOKUP(U210,'Lookup Tables'!$AB$32:$AC$41,2,FALSE)</f>
        <v>33</v>
      </c>
      <c r="K219" s="123">
        <f>E219-J219</f>
        <v>-33</v>
      </c>
      <c r="L219" s="12">
        <f>IF(K219&gt;0,1,0)</f>
        <v>0</v>
      </c>
      <c r="M219" s="119">
        <f>M210</f>
        <v>0</v>
      </c>
      <c r="N219" s="15">
        <f>((((('Rate Tables'!B81*9)*0.02778)/5)*K219)*L219)*F219*M219*AO221</f>
        <v>0</v>
      </c>
      <c r="O219" s="28">
        <f>O210</f>
        <v>12</v>
      </c>
      <c r="P219" s="8">
        <f>IF(O219&lt;0,O219*0,1)*O219</f>
        <v>12</v>
      </c>
      <c r="Q219" s="123">
        <f>(E219-K219*F219*L219*M219)</f>
        <v>0</v>
      </c>
      <c r="R219" s="36">
        <f>S210</f>
        <v>3</v>
      </c>
      <c r="S219" s="138">
        <f>VLOOKUP(U210,'Lookup Tables'!$AB$22:$AC$31,2,FALSE)</f>
        <v>32</v>
      </c>
      <c r="T219" s="140">
        <f>VLOOKUP(AF210,'Lookup Tables'!$AB$32:$AC$41,2,FALSE)</f>
        <v>33</v>
      </c>
      <c r="U219" s="129">
        <f>Q219-T219</f>
        <v>-33</v>
      </c>
      <c r="V219" s="12">
        <f>IF(U219&gt;0,1,0)</f>
        <v>0</v>
      </c>
      <c r="W219" s="15">
        <f>((('Rate Tables'!C81*9)*0.02778)/5)*U219*F219*V219*AO221</f>
        <v>0</v>
      </c>
      <c r="X219" s="8">
        <f>AA210</f>
        <v>2</v>
      </c>
      <c r="Y219" s="12"/>
      <c r="Z219" s="119"/>
      <c r="AA219" s="18"/>
      <c r="AB219" s="8">
        <f>IF(X219&lt;0,X219*0,1)*X219</f>
        <v>2</v>
      </c>
      <c r="AC219" s="123">
        <f>Q219-(U219*V219)</f>
        <v>0</v>
      </c>
      <c r="AD219" s="12"/>
      <c r="AE219" s="36">
        <f>AE210</f>
        <v>1</v>
      </c>
      <c r="AF219" s="138">
        <f>VLOOKUP(AF210,'Lookup Tables'!$AB$22:$AC$31,2,FALSE)</f>
        <v>32</v>
      </c>
      <c r="AG219" s="140">
        <v>0</v>
      </c>
      <c r="AH219" s="125">
        <f>AC219-AG219</f>
        <v>0</v>
      </c>
      <c r="AI219" s="12">
        <f>IF(AH219&gt;0,1,0)</f>
        <v>0</v>
      </c>
      <c r="AJ219" s="15">
        <f>((('Rate Tables'!D81*9)*0.02778)/5)*AH219*AI219*F219*AO221</f>
        <v>0</v>
      </c>
      <c r="AK219" s="8">
        <f>AL210</f>
        <v>0</v>
      </c>
      <c r="AL219" s="18"/>
      <c r="AM219" s="19">
        <f>VLOOKUP(B206,'Lookup Tables'!$AK$22:$AM$24,2,0)</f>
        <v>0</v>
      </c>
      <c r="AN219" s="12"/>
      <c r="AO219" s="308">
        <f>VLOOKUP(AP217,'Lookup Tables'!$AF$22:$AG$24,2,FALSE)</f>
        <v>0</v>
      </c>
      <c r="AP219" s="349" t="s">
        <v>643</v>
      </c>
      <c r="AQ219" s="12"/>
      <c r="AR219" s="285"/>
      <c r="AS219" s="15"/>
    </row>
    <row r="220" spans="1:45" ht="13.5" customHeight="1" x14ac:dyDescent="0.25">
      <c r="A220" s="145"/>
      <c r="B220" s="12"/>
      <c r="C220" s="117" t="s">
        <v>597</v>
      </c>
      <c r="D220" s="12"/>
      <c r="E220" s="13" t="s">
        <v>84</v>
      </c>
      <c r="F220" s="13" t="s">
        <v>42</v>
      </c>
      <c r="G220" s="13" t="s">
        <v>41</v>
      </c>
      <c r="H220" s="65" t="s">
        <v>77</v>
      </c>
      <c r="I220" s="137" t="s">
        <v>105</v>
      </c>
      <c r="J220" s="139" t="s">
        <v>106</v>
      </c>
      <c r="K220" s="127" t="s">
        <v>99</v>
      </c>
      <c r="L220" s="13" t="s">
        <v>100</v>
      </c>
      <c r="M220" s="13" t="s">
        <v>82</v>
      </c>
      <c r="N220" s="13" t="s">
        <v>32</v>
      </c>
      <c r="O220" s="14" t="s">
        <v>69</v>
      </c>
      <c r="P220" s="13" t="s">
        <v>72</v>
      </c>
      <c r="Q220" s="13" t="s">
        <v>103</v>
      </c>
      <c r="R220" s="65" t="s">
        <v>77</v>
      </c>
      <c r="S220" s="137" t="s">
        <v>105</v>
      </c>
      <c r="T220" s="139" t="s">
        <v>106</v>
      </c>
      <c r="U220" s="12" t="s">
        <v>98</v>
      </c>
      <c r="V220" s="13" t="s">
        <v>100</v>
      </c>
      <c r="W220" s="13" t="s">
        <v>33</v>
      </c>
      <c r="X220" s="13" t="s">
        <v>69</v>
      </c>
      <c r="Y220" s="13"/>
      <c r="Z220" s="13"/>
      <c r="AA220" s="18"/>
      <c r="AB220" s="13" t="s">
        <v>72</v>
      </c>
      <c r="AC220" s="13" t="s">
        <v>104</v>
      </c>
      <c r="AD220" s="13"/>
      <c r="AE220" s="65" t="s">
        <v>77</v>
      </c>
      <c r="AF220" s="137" t="s">
        <v>105</v>
      </c>
      <c r="AG220" s="139" t="s">
        <v>106</v>
      </c>
      <c r="AH220" s="12" t="s">
        <v>98</v>
      </c>
      <c r="AI220" s="13" t="s">
        <v>100</v>
      </c>
      <c r="AJ220" s="13" t="s">
        <v>34</v>
      </c>
      <c r="AK220" s="13" t="s">
        <v>69</v>
      </c>
      <c r="AL220" s="18"/>
      <c r="AM220" s="13"/>
      <c r="AN220" s="12"/>
      <c r="AO220" s="227" t="s">
        <v>126</v>
      </c>
      <c r="AP220" s="350" t="s">
        <v>644</v>
      </c>
      <c r="AQ220" s="276" t="s">
        <v>187</v>
      </c>
      <c r="AR220" s="285">
        <f>(((O223+O224+AA223+AA224+AL223+AL224)*AM223)*AR221)*AP222</f>
        <v>0</v>
      </c>
      <c r="AS220" s="15"/>
    </row>
    <row r="221" spans="1:45" ht="13.5" customHeight="1" x14ac:dyDescent="0.25">
      <c r="A221" s="145"/>
      <c r="B221" s="12"/>
      <c r="C221" s="115"/>
      <c r="D221" s="12"/>
      <c r="E221" s="128">
        <f>E219</f>
        <v>0</v>
      </c>
      <c r="F221" s="19">
        <f>IF($D$4=2023,1,0)</f>
        <v>0</v>
      </c>
      <c r="G221" s="178">
        <f>IF($B234="Yes",$C$5,$I233)</f>
        <v>12</v>
      </c>
      <c r="H221" s="36">
        <f>H212</f>
        <v>3</v>
      </c>
      <c r="I221" s="138">
        <f>VLOOKUP(J212,'Lookup Tables'!$AB$22:$AC$31,2,FALSE)</f>
        <v>32</v>
      </c>
      <c r="J221" s="140">
        <f>VLOOKUP(U212,'Lookup Tables'!$AB$32:$AC$41,2,FALSE)</f>
        <v>33</v>
      </c>
      <c r="K221" s="123">
        <f>E221-J221</f>
        <v>-33</v>
      </c>
      <c r="L221" s="12">
        <f>IF(K221&gt;0,1,0)</f>
        <v>0</v>
      </c>
      <c r="M221" s="119">
        <f>M212</f>
        <v>0</v>
      </c>
      <c r="N221" s="15">
        <f>((((('Rate Tables'!C81*9)*0.02778)/5)*K221)*L221)*F221*M221*AO221</f>
        <v>0</v>
      </c>
      <c r="O221" s="28">
        <f>O212</f>
        <v>12</v>
      </c>
      <c r="P221" s="8">
        <f>IF(O221&lt;0,O221*0,1)*O221</f>
        <v>12</v>
      </c>
      <c r="Q221" s="123">
        <f>(E221-K221*F221*L221*M221)</f>
        <v>0</v>
      </c>
      <c r="R221" s="36">
        <f>S212</f>
        <v>3</v>
      </c>
      <c r="S221" s="138">
        <f>VLOOKUP(U212,'Lookup Tables'!$AB$22:$AC$31,2,FALSE)</f>
        <v>32</v>
      </c>
      <c r="T221" s="140">
        <f>VLOOKUP(AF212,'Lookup Tables'!$AB$32:$AC$41,2,FALSE)</f>
        <v>33</v>
      </c>
      <c r="U221" s="129">
        <f>Q221-T221</f>
        <v>-33</v>
      </c>
      <c r="V221" s="12">
        <f>IF(U221&gt;0,1,0)</f>
        <v>0</v>
      </c>
      <c r="W221" s="15">
        <f>((('Rate Tables'!D81*9)*0.02778)/5)*U221*F221*V221*AO221</f>
        <v>0</v>
      </c>
      <c r="X221" s="8">
        <f>AA212</f>
        <v>2</v>
      </c>
      <c r="Y221" s="12"/>
      <c r="Z221" s="119"/>
      <c r="AA221" s="18"/>
      <c r="AB221" s="8">
        <f>IF(X221&lt;0,X221*0,1)*X221</f>
        <v>2</v>
      </c>
      <c r="AC221" s="123">
        <f>Q221-(U221*V221)</f>
        <v>0</v>
      </c>
      <c r="AD221" s="12"/>
      <c r="AE221" s="36">
        <f>AE212</f>
        <v>1</v>
      </c>
      <c r="AF221" s="138">
        <f>VLOOKUP(AF212,'Lookup Tables'!$AB$22:$AC$31,2,FALSE)</f>
        <v>32</v>
      </c>
      <c r="AG221" s="140">
        <v>0</v>
      </c>
      <c r="AH221" s="125">
        <f>AC221-AG221</f>
        <v>0</v>
      </c>
      <c r="AI221" s="12">
        <f>IF(AH221&gt;0,1,0)</f>
        <v>0</v>
      </c>
      <c r="AJ221" s="15">
        <f>((('Rate Tables'!E81*9)*0.02778)/5)*AH221*AI221*F221*AO221</f>
        <v>0</v>
      </c>
      <c r="AK221" s="8">
        <f>AL212</f>
        <v>0</v>
      </c>
      <c r="AL221" s="18"/>
      <c r="AM221" s="19"/>
      <c r="AN221" s="12"/>
      <c r="AO221" s="319">
        <f>VLOOKUP(AP217,'Lookup Tables'!$AF$26:$AG$28,2,0)</f>
        <v>0</v>
      </c>
      <c r="AP221" s="358" t="str">
        <f>IF(AP217="50% Sum","no",Personnel!G86)</f>
        <v>No</v>
      </c>
      <c r="AQ221" s="227" t="s">
        <v>582</v>
      </c>
      <c r="AR221" s="663">
        <f>IF(AR217&gt;0,1,0)</f>
        <v>0</v>
      </c>
      <c r="AS221" s="15"/>
    </row>
    <row r="222" spans="1:45" ht="13.5" customHeight="1" x14ac:dyDescent="0.25">
      <c r="A222" s="145"/>
      <c r="B222" s="12"/>
      <c r="C222" s="114"/>
      <c r="D222" s="12"/>
      <c r="E222" s="12"/>
      <c r="F222" s="12"/>
      <c r="G222" s="12"/>
      <c r="H222" s="12"/>
      <c r="I222" s="12" t="s">
        <v>641</v>
      </c>
      <c r="J222" s="12" t="s">
        <v>642</v>
      </c>
      <c r="K222" s="12" t="s">
        <v>164</v>
      </c>
      <c r="L222" s="13" t="s">
        <v>165</v>
      </c>
      <c r="M222" s="608" t="s">
        <v>128</v>
      </c>
      <c r="N222" s="147" t="s">
        <v>129</v>
      </c>
      <c r="O222" s="135" t="s">
        <v>130</v>
      </c>
      <c r="P222" s="12"/>
      <c r="Q222" s="12"/>
      <c r="R222" s="12"/>
      <c r="S222" s="12"/>
      <c r="T222" s="12"/>
      <c r="U222" s="12"/>
      <c r="V222" s="12" t="s">
        <v>166</v>
      </c>
      <c r="W222" s="12" t="s">
        <v>163</v>
      </c>
      <c r="X222" s="13" t="s">
        <v>165</v>
      </c>
      <c r="Y222" s="650" t="s">
        <v>128</v>
      </c>
      <c r="Z222" s="13" t="s">
        <v>129</v>
      </c>
      <c r="AA222" s="135" t="s">
        <v>130</v>
      </c>
      <c r="AB222" s="12"/>
      <c r="AC222" s="12"/>
      <c r="AD222" s="12"/>
      <c r="AE222" s="12"/>
      <c r="AF222" s="12"/>
      <c r="AG222" s="12" t="s">
        <v>166</v>
      </c>
      <c r="AH222" s="12" t="s">
        <v>163</v>
      </c>
      <c r="AI222" s="13" t="s">
        <v>165</v>
      </c>
      <c r="AJ222" s="650" t="s">
        <v>128</v>
      </c>
      <c r="AK222" s="13" t="s">
        <v>129</v>
      </c>
      <c r="AL222" s="135" t="s">
        <v>130</v>
      </c>
      <c r="AM222" s="13" t="s">
        <v>159</v>
      </c>
      <c r="AN222" s="12"/>
      <c r="AO222" s="227"/>
      <c r="AP222" s="349">
        <f>IF(AP221="yes",0.5,1)</f>
        <v>1</v>
      </c>
      <c r="AQ222" s="12"/>
      <c r="AR222" s="285"/>
      <c r="AS222" s="15"/>
    </row>
    <row r="223" spans="1:45" ht="13.5" customHeight="1" x14ac:dyDescent="0.25">
      <c r="A223" s="145"/>
      <c r="B223" s="12"/>
      <c r="C223" s="114"/>
      <c r="D223" s="12"/>
      <c r="E223" s="12"/>
      <c r="F223" s="12"/>
      <c r="G223" s="12"/>
      <c r="H223" s="12"/>
      <c r="I223" s="12">
        <f>G210</f>
        <v>12</v>
      </c>
      <c r="J223" s="125">
        <f>AO215</f>
        <v>9</v>
      </c>
      <c r="K223" s="125">
        <f>I223-J223</f>
        <v>3</v>
      </c>
      <c r="L223" s="123">
        <f>V223</f>
        <v>0</v>
      </c>
      <c r="M223" s="609">
        <f>IF(M225&lt;=0,0,ROUNDUP(M225,0))</f>
        <v>3</v>
      </c>
      <c r="N223" s="161">
        <f>'Rate Tables'!$P$17</f>
        <v>910</v>
      </c>
      <c r="O223" s="136">
        <f>(M223*N223)*F219*M219</f>
        <v>0</v>
      </c>
      <c r="P223" s="12"/>
      <c r="Q223" s="12"/>
      <c r="R223" s="12"/>
      <c r="S223" s="12"/>
      <c r="T223" s="12"/>
      <c r="U223" s="12"/>
      <c r="V223" s="12">
        <f>VLOOKUP((U219*V219),'Lookup Tables'!$E$38:$F$103,2,0)</f>
        <v>0</v>
      </c>
      <c r="W223" s="12">
        <f>K223-(M223*M219)</f>
        <v>3</v>
      </c>
      <c r="X223" s="119">
        <f>AG223</f>
        <v>0</v>
      </c>
      <c r="Y223" s="609">
        <f>IF(Y225&lt;=0,0,ROUNDUP(Y225,0))</f>
        <v>3</v>
      </c>
      <c r="Z223" s="129">
        <f>'Rate Tables'!$P$18</f>
        <v>910</v>
      </c>
      <c r="AA223" s="136">
        <f>Y223*Z223*F219*V219</f>
        <v>0</v>
      </c>
      <c r="AB223" s="12"/>
      <c r="AC223" s="12"/>
      <c r="AD223" s="12"/>
      <c r="AE223" s="12"/>
      <c r="AF223" s="12"/>
      <c r="AG223" s="12">
        <f>VLOOKUP(AH219,'Lookup Tables'!$E$38:$F$103,2,0)</f>
        <v>0</v>
      </c>
      <c r="AH223" s="125">
        <f>W223-(Y223*V219)</f>
        <v>3</v>
      </c>
      <c r="AI223" s="119">
        <v>0</v>
      </c>
      <c r="AJ223" s="609">
        <f>IF(AJ225&lt;=0,0,ROUNDUP(AJ225,0))</f>
        <v>3</v>
      </c>
      <c r="AK223" s="129">
        <f>'Rate Tables'!$P$19</f>
        <v>910</v>
      </c>
      <c r="AL223" s="136">
        <f>AJ223*AK223*F219*AI219</f>
        <v>0</v>
      </c>
      <c r="AM223" s="19">
        <f>VLOOKUP(B206,'Lookup Tables'!$AK$22:$AM$24,2,0)</f>
        <v>0</v>
      </c>
      <c r="AN223" s="12"/>
      <c r="AO223" s="307"/>
      <c r="AP223" s="358"/>
      <c r="AQ223" s="12"/>
      <c r="AR223" s="285"/>
      <c r="AS223" s="15"/>
    </row>
    <row r="224" spans="1:45" ht="13.5" customHeight="1" x14ac:dyDescent="0.25">
      <c r="A224" s="145"/>
      <c r="B224" s="12"/>
      <c r="C224" s="114"/>
      <c r="D224" s="12"/>
      <c r="E224" s="12"/>
      <c r="F224" s="12"/>
      <c r="G224" s="12"/>
      <c r="H224" s="12"/>
      <c r="I224" s="12">
        <f>G212</f>
        <v>12</v>
      </c>
      <c r="J224" s="125">
        <f>J223</f>
        <v>9</v>
      </c>
      <c r="K224" s="125">
        <f>I224-J224</f>
        <v>3</v>
      </c>
      <c r="L224" s="123">
        <f>V224</f>
        <v>0</v>
      </c>
      <c r="M224" s="609">
        <f>IF(M226&lt;=0,0,ROUNDUP(M226,0))</f>
        <v>3</v>
      </c>
      <c r="N224" s="161">
        <f>'Rate Tables'!$P$18</f>
        <v>910</v>
      </c>
      <c r="O224" s="136">
        <f>(M224*N224)*F221*M221</f>
        <v>0</v>
      </c>
      <c r="P224" s="12"/>
      <c r="Q224" s="12"/>
      <c r="R224" s="12"/>
      <c r="S224" s="12"/>
      <c r="T224" s="12"/>
      <c r="U224" s="12"/>
      <c r="V224" s="12">
        <f>VLOOKUP((U221*V221),'Lookup Tables'!$E$38:$F$103,2,0)</f>
        <v>0</v>
      </c>
      <c r="W224" s="12">
        <f>K224-(M224*M221)</f>
        <v>3</v>
      </c>
      <c r="X224" s="119">
        <f>AG224</f>
        <v>0</v>
      </c>
      <c r="Y224" s="609">
        <f>IF(Y226&lt;=0,0,ROUNDUP(Y226,0))</f>
        <v>3</v>
      </c>
      <c r="Z224" s="129">
        <f>'Rate Tables'!$P$19</f>
        <v>910</v>
      </c>
      <c r="AA224" s="136">
        <f>Y224*Z224*F221*V221</f>
        <v>0</v>
      </c>
      <c r="AB224" s="12"/>
      <c r="AC224" s="12"/>
      <c r="AD224" s="12"/>
      <c r="AE224" s="12"/>
      <c r="AF224" s="12"/>
      <c r="AG224" s="12">
        <f>VLOOKUP(AH221,'Lookup Tables'!$E$38:$F$103,2,0)</f>
        <v>0</v>
      </c>
      <c r="AH224" s="125">
        <f>W224-(Y224*V221)</f>
        <v>3</v>
      </c>
      <c r="AI224" s="119">
        <v>0</v>
      </c>
      <c r="AJ224" s="609">
        <f>IF(AJ226&lt;=0,0,ROUNDUP(AJ226,0))</f>
        <v>3</v>
      </c>
      <c r="AK224" s="129">
        <f>'Rate Tables'!$P$20</f>
        <v>928.2</v>
      </c>
      <c r="AL224" s="136">
        <f>AJ224*AK224*F221*AI221</f>
        <v>0</v>
      </c>
      <c r="AM224" s="19"/>
      <c r="AN224" s="12"/>
      <c r="AO224" s="307"/>
      <c r="AP224" s="349"/>
      <c r="AQ224" s="12"/>
      <c r="AR224" s="285"/>
      <c r="AS224" s="15"/>
    </row>
    <row r="225" spans="1:45" ht="13.5" customHeight="1" x14ac:dyDescent="0.25">
      <c r="A225" s="145"/>
      <c r="B225" s="12"/>
      <c r="C225" s="114"/>
      <c r="D225" s="12"/>
      <c r="E225" s="12"/>
      <c r="F225" s="12"/>
      <c r="G225" s="12" t="s">
        <v>584</v>
      </c>
      <c r="H225" s="12"/>
      <c r="I225" s="12"/>
      <c r="J225" s="12"/>
      <c r="K225" s="12"/>
      <c r="L225" s="123"/>
      <c r="M225" s="648">
        <f>K223-L223</f>
        <v>3</v>
      </c>
      <c r="N225" s="161"/>
      <c r="O225" s="125"/>
      <c r="P225" s="12"/>
      <c r="Q225" s="12"/>
      <c r="R225" s="12"/>
      <c r="S225" s="12"/>
      <c r="T225" s="12"/>
      <c r="U225" s="12"/>
      <c r="V225" s="12"/>
      <c r="W225" s="12"/>
      <c r="X225" s="119"/>
      <c r="Y225" s="651">
        <f>W223-X223</f>
        <v>3</v>
      </c>
      <c r="Z225" s="129"/>
      <c r="AA225" s="125"/>
      <c r="AB225" s="12"/>
      <c r="AC225" s="12"/>
      <c r="AD225" s="12"/>
      <c r="AE225" s="12"/>
      <c r="AF225" s="12"/>
      <c r="AG225" s="12"/>
      <c r="AH225" s="125"/>
      <c r="AI225" s="119"/>
      <c r="AJ225" s="651">
        <f>AH223-AI223</f>
        <v>3</v>
      </c>
      <c r="AK225" s="129"/>
      <c r="AL225" s="125"/>
      <c r="AM225" s="19"/>
      <c r="AN225" s="12"/>
      <c r="AO225" s="307"/>
      <c r="AP225" s="349"/>
      <c r="AQ225" s="12"/>
      <c r="AR225" s="285"/>
      <c r="AS225" s="15"/>
    </row>
    <row r="226" spans="1:45" ht="13.5" customHeight="1" x14ac:dyDescent="0.25">
      <c r="A226" s="145"/>
      <c r="B226" s="162"/>
      <c r="C226" s="115">
        <f>(B208*12)*2</f>
        <v>0</v>
      </c>
      <c r="D226" s="115"/>
      <c r="E226" s="126"/>
      <c r="F226" s="126"/>
      <c r="G226" s="12"/>
      <c r="H226" s="12"/>
      <c r="I226" s="12"/>
      <c r="J226" s="12"/>
      <c r="K226" s="12"/>
      <c r="L226" s="12"/>
      <c r="M226" s="649">
        <f>K224-L224</f>
        <v>3</v>
      </c>
      <c r="N226" s="12"/>
      <c r="O226" s="12"/>
      <c r="P226" s="12"/>
      <c r="Q226" s="12"/>
      <c r="R226" s="12"/>
      <c r="S226" s="12"/>
      <c r="T226" s="12"/>
      <c r="U226" s="12"/>
      <c r="V226" s="12"/>
      <c r="W226" s="12"/>
      <c r="X226" s="12"/>
      <c r="Y226" s="652">
        <f>W224-X224</f>
        <v>3</v>
      </c>
      <c r="Z226" s="12"/>
      <c r="AA226" s="12"/>
      <c r="AB226" s="12"/>
      <c r="AC226" s="12"/>
      <c r="AD226" s="12"/>
      <c r="AE226" s="12"/>
      <c r="AF226" s="12"/>
      <c r="AG226" s="12"/>
      <c r="AH226" s="12"/>
      <c r="AI226" s="12"/>
      <c r="AJ226" s="652">
        <f>AH224-AI224</f>
        <v>3</v>
      </c>
      <c r="AK226" s="12"/>
      <c r="AL226" s="12"/>
      <c r="AM226" s="12"/>
      <c r="AN226" s="12"/>
      <c r="AO226" s="306" t="s">
        <v>413</v>
      </c>
      <c r="AP226" s="348">
        <f>Personnel!G82</f>
        <v>0</v>
      </c>
      <c r="AQ226" s="276" t="s">
        <v>416</v>
      </c>
      <c r="AR226" s="285">
        <f>(M228+M230+W228+W230+AI228+AI230)*AM228</f>
        <v>0</v>
      </c>
      <c r="AS226" s="15"/>
    </row>
    <row r="227" spans="1:45" ht="13.5" customHeight="1" x14ac:dyDescent="0.25">
      <c r="A227" s="145"/>
      <c r="B227" s="12"/>
      <c r="C227" s="117" t="s">
        <v>30</v>
      </c>
      <c r="D227" s="117"/>
      <c r="E227" s="13">
        <v>0</v>
      </c>
      <c r="F227" s="13" t="s">
        <v>42</v>
      </c>
      <c r="G227" s="13" t="s">
        <v>41</v>
      </c>
      <c r="H227" s="65" t="s">
        <v>77</v>
      </c>
      <c r="I227" s="150" t="s">
        <v>50</v>
      </c>
      <c r="J227" s="13" t="s">
        <v>52</v>
      </c>
      <c r="K227" s="13" t="s">
        <v>35</v>
      </c>
      <c r="L227" s="13" t="s">
        <v>82</v>
      </c>
      <c r="M227" s="13" t="s">
        <v>31</v>
      </c>
      <c r="N227" s="13" t="s">
        <v>69</v>
      </c>
      <c r="O227" s="12"/>
      <c r="P227" s="13" t="s">
        <v>72</v>
      </c>
      <c r="Q227" s="65" t="s">
        <v>80</v>
      </c>
      <c r="R227" s="62" t="s">
        <v>81</v>
      </c>
      <c r="S227" s="65" t="s">
        <v>77</v>
      </c>
      <c r="T227" s="674" t="s">
        <v>107</v>
      </c>
      <c r="U227" s="13" t="s">
        <v>53</v>
      </c>
      <c r="V227" s="13" t="s">
        <v>82</v>
      </c>
      <c r="W227" s="13" t="s">
        <v>32</v>
      </c>
      <c r="X227" s="13" t="s">
        <v>69</v>
      </c>
      <c r="Y227" s="12"/>
      <c r="Z227" s="12"/>
      <c r="AA227" s="12"/>
      <c r="AB227" s="13" t="s">
        <v>72</v>
      </c>
      <c r="AC227" s="13" t="s">
        <v>80</v>
      </c>
      <c r="AD227" s="62" t="s">
        <v>81</v>
      </c>
      <c r="AE227" s="65" t="s">
        <v>77</v>
      </c>
      <c r="AF227" s="151" t="s">
        <v>107</v>
      </c>
      <c r="AG227" s="13" t="s">
        <v>78</v>
      </c>
      <c r="AH227" s="13" t="s">
        <v>82</v>
      </c>
      <c r="AI227" s="13" t="s">
        <v>33</v>
      </c>
      <c r="AJ227" s="13" t="s">
        <v>69</v>
      </c>
      <c r="AK227" s="12"/>
      <c r="AL227" s="12"/>
      <c r="AM227" s="13" t="s">
        <v>159</v>
      </c>
      <c r="AN227" s="12"/>
      <c r="AO227" s="227"/>
      <c r="AP227" s="12"/>
      <c r="AQ227" s="12"/>
      <c r="AR227" s="285"/>
      <c r="AS227" s="15"/>
    </row>
    <row r="228" spans="1:45" ht="13.5" customHeight="1" x14ac:dyDescent="0.25">
      <c r="A228" s="145"/>
      <c r="B228" s="12"/>
      <c r="C228" s="115"/>
      <c r="D228" s="115"/>
      <c r="E228" s="152">
        <f>AP226</f>
        <v>0</v>
      </c>
      <c r="F228" s="19">
        <f>IF($D$4=2022,1,0)</f>
        <v>1</v>
      </c>
      <c r="G228" s="178">
        <f>IF($B234="Yes",$C$5,$I233)</f>
        <v>12</v>
      </c>
      <c r="H228" s="36">
        <f>VLOOKUP(H232,'Lookup Tables'!$A$22:$B$33,2,FALSE)</f>
        <v>3</v>
      </c>
      <c r="I228" s="192">
        <f>VLOOKUP($E$4,'Lookup Tables'!$AB$46:$AN$58,MATCH($H228,'Lookup Tables'!$AB$46:$AN$46),FALSE)</f>
        <v>12</v>
      </c>
      <c r="J228" s="19">
        <f>12-I228</f>
        <v>0</v>
      </c>
      <c r="K228" s="19">
        <f>IF(G228&lt;J228,G228,J228)</f>
        <v>0</v>
      </c>
      <c r="L228" s="195">
        <f>IF(12-I228&gt;=1,1,0)</f>
        <v>0</v>
      </c>
      <c r="M228" s="20">
        <f>((('Rate Tables'!$B104*$E228)*PersonCalcYr1!$K228)*L228)*$F228</f>
        <v>0</v>
      </c>
      <c r="N228" s="8">
        <f>G228-(J228*L228)</f>
        <v>12</v>
      </c>
      <c r="O228" s="12"/>
      <c r="P228" s="8">
        <f>IF(N228&lt;0,N228*0,1)*N228</f>
        <v>12</v>
      </c>
      <c r="Q228" s="120">
        <f>VLOOKUP($H232,'Lookup Tables'!$A$22:$B$33,2,FALSE)+(K228*L228)</f>
        <v>3</v>
      </c>
      <c r="R228" s="121" t="str">
        <f>VLOOKUP(Q228,'Lookup Tables'!$A$38:$B$151,2,FALSE)</f>
        <v>Sept</v>
      </c>
      <c r="S228" s="36">
        <f>VLOOKUP(R228,'Lookup Tables'!$A$22:$B$33,2,FALSE)</f>
        <v>3</v>
      </c>
      <c r="T228" s="672">
        <f>VLOOKUP($E$4,'Lookup Tables'!$AQ$46:$BC$58,MATCH(PersonCalcYr1!$S228,'Lookup Tables'!$AQ$46:$BC$46),FALSE)</f>
        <v>10</v>
      </c>
      <c r="U228" s="19">
        <f>IF(P228&lt;T228,P228,T228)</f>
        <v>10</v>
      </c>
      <c r="V228" s="119">
        <f>IF((U228)&lt;=0,0,1)</f>
        <v>1</v>
      </c>
      <c r="W228" s="20">
        <f>(('Rate Tables'!$C104*$E228)*PersonCalcYr1!$U228)*$V228*$F228</f>
        <v>0</v>
      </c>
      <c r="X228" s="8">
        <f>P228-(U228*V228)</f>
        <v>2</v>
      </c>
      <c r="Y228" s="12"/>
      <c r="Z228" s="12"/>
      <c r="AA228" s="12"/>
      <c r="AB228" s="19">
        <f>X228</f>
        <v>2</v>
      </c>
      <c r="AC228" s="123">
        <f>AC210</f>
        <v>13</v>
      </c>
      <c r="AD228" s="121" t="str">
        <f>VLOOKUP(AC228,'Lookup Tables'!$A$38:$B$151,2,FALSE)</f>
        <v>July</v>
      </c>
      <c r="AE228" s="36">
        <f>VLOOKUP(AD228,'Lookup Tables'!$A$22:$B$33,2,FALSE)</f>
        <v>1</v>
      </c>
      <c r="AF228" s="87">
        <f>VLOOKUP($AE228,'Lookup Tables'!$AC$3:$AW$16,MATCH(PersonCalcYr1!$AB228,'Lookup Tables'!$AC$3:$AW$3),FALSE)</f>
        <v>2</v>
      </c>
      <c r="AG228" s="19">
        <f>IF(AB228&lt;AF228,AB228,AF228)</f>
        <v>2</v>
      </c>
      <c r="AH228" s="119">
        <f>IF((AG228)&lt;=0,0,1)</f>
        <v>1</v>
      </c>
      <c r="AI228" s="20">
        <f>(('Rate Tables'!$D104*$E228)*PersonCalcYr1!AG228)*AH228*$F228</f>
        <v>0</v>
      </c>
      <c r="AJ228" s="8">
        <f>AB228-(AG228*AH228)</f>
        <v>0</v>
      </c>
      <c r="AK228" s="12"/>
      <c r="AL228" s="12"/>
      <c r="AM228" s="19">
        <f>VLOOKUP(B206,'Lookup Tables'!$AK$22:$AM$24,3,0)</f>
        <v>1</v>
      </c>
      <c r="AN228" s="12"/>
      <c r="AO228" s="227"/>
      <c r="AP228" s="12"/>
      <c r="AQ228" s="276" t="s">
        <v>188</v>
      </c>
      <c r="AR228" s="285">
        <f>AR226*'Rate Tables'!P$8</f>
        <v>0</v>
      </c>
      <c r="AS228" s="15"/>
    </row>
    <row r="229" spans="1:45" ht="13.5" customHeight="1" x14ac:dyDescent="0.25">
      <c r="A229" s="145"/>
      <c r="B229" s="12"/>
      <c r="C229" s="117" t="s">
        <v>597</v>
      </c>
      <c r="D229" s="117"/>
      <c r="E229" s="13">
        <v>0</v>
      </c>
      <c r="F229" s="13" t="s">
        <v>42</v>
      </c>
      <c r="G229" s="13" t="s">
        <v>41</v>
      </c>
      <c r="H229" s="65" t="s">
        <v>77</v>
      </c>
      <c r="I229" s="150" t="s">
        <v>51</v>
      </c>
      <c r="J229" s="13" t="s">
        <v>110</v>
      </c>
      <c r="K229" s="13" t="s">
        <v>53</v>
      </c>
      <c r="L229" s="13" t="s">
        <v>82</v>
      </c>
      <c r="M229" s="13" t="s">
        <v>32</v>
      </c>
      <c r="N229" s="13" t="s">
        <v>69</v>
      </c>
      <c r="O229" s="12"/>
      <c r="P229" s="13" t="s">
        <v>72</v>
      </c>
      <c r="Q229" s="65" t="s">
        <v>80</v>
      </c>
      <c r="R229" s="62" t="s">
        <v>81</v>
      </c>
      <c r="S229" s="65" t="s">
        <v>77</v>
      </c>
      <c r="T229" s="674" t="s">
        <v>107</v>
      </c>
      <c r="U229" s="13" t="s">
        <v>78</v>
      </c>
      <c r="V229" s="13" t="s">
        <v>82</v>
      </c>
      <c r="W229" s="13" t="s">
        <v>33</v>
      </c>
      <c r="X229" s="13" t="s">
        <v>69</v>
      </c>
      <c r="Y229" s="12"/>
      <c r="Z229" s="12"/>
      <c r="AA229" s="12"/>
      <c r="AB229" s="13" t="s">
        <v>72</v>
      </c>
      <c r="AC229" s="13" t="s">
        <v>80</v>
      </c>
      <c r="AD229" s="62" t="s">
        <v>81</v>
      </c>
      <c r="AE229" s="65" t="s">
        <v>77</v>
      </c>
      <c r="AF229" s="151" t="s">
        <v>107</v>
      </c>
      <c r="AG229" s="13" t="s">
        <v>79</v>
      </c>
      <c r="AH229" s="13" t="s">
        <v>82</v>
      </c>
      <c r="AI229" s="13" t="s">
        <v>34</v>
      </c>
      <c r="AJ229" s="13" t="s">
        <v>69</v>
      </c>
      <c r="AK229" s="12"/>
      <c r="AL229" s="12"/>
      <c r="AM229" s="13"/>
      <c r="AN229" s="12"/>
      <c r="AO229" s="311"/>
      <c r="AP229" s="349" t="s">
        <v>643</v>
      </c>
      <c r="AQ229" s="12"/>
      <c r="AR229" s="285"/>
      <c r="AS229" s="15"/>
    </row>
    <row r="230" spans="1:45" ht="13.5" customHeight="1" x14ac:dyDescent="0.25">
      <c r="A230" s="145"/>
      <c r="B230" s="12"/>
      <c r="C230" s="115"/>
      <c r="D230" s="115"/>
      <c r="E230" s="152">
        <f>AP226</f>
        <v>0</v>
      </c>
      <c r="F230" s="19">
        <f>IF($D$4=2023,1,0)</f>
        <v>0</v>
      </c>
      <c r="G230" s="178">
        <f>IF($B234="Yes",$C$5,$I233)</f>
        <v>12</v>
      </c>
      <c r="H230" s="36">
        <f>VLOOKUP(H232,'Lookup Tables'!$A$22:$B$33,2,FALSE)</f>
        <v>3</v>
      </c>
      <c r="I230" s="192">
        <f>VLOOKUP($E$4,'Lookup Tables'!$AB$46:$AN$58,MATCH($H230,'Lookup Tables'!$AB$46:$AN$46),FALSE)</f>
        <v>12</v>
      </c>
      <c r="J230" s="19">
        <f>12-I230</f>
        <v>0</v>
      </c>
      <c r="K230" s="19">
        <f>IF(G230&lt;J230,G230,J230)</f>
        <v>0</v>
      </c>
      <c r="L230" s="195">
        <f>IF(12-I230&gt;=1,1,0)</f>
        <v>0</v>
      </c>
      <c r="M230" s="20">
        <f>((('Rate Tables'!$C104*$E230)*PersonCalcYr1!$K230)*L230)*$F230</f>
        <v>0</v>
      </c>
      <c r="N230" s="8">
        <f>G230-(J230*L230)</f>
        <v>12</v>
      </c>
      <c r="O230" s="12"/>
      <c r="P230" s="8">
        <f>IF(N230&lt;0,N230*0,1)*N230</f>
        <v>12</v>
      </c>
      <c r="Q230" s="120">
        <f>VLOOKUP($H232,'Lookup Tables'!$A$22:$B$33,2,FALSE)+(K230*L230)</f>
        <v>3</v>
      </c>
      <c r="R230" s="121" t="str">
        <f>VLOOKUP(Q230,'Lookup Tables'!$A$38:$B$151,2,FALSE)</f>
        <v>Sept</v>
      </c>
      <c r="S230" s="36">
        <f>VLOOKUP(R230,'Lookup Tables'!$A$22:$B$33,2,FALSE)</f>
        <v>3</v>
      </c>
      <c r="T230" s="672">
        <f>VLOOKUP($E$4,'Lookup Tables'!$AQ$46:$BC$58,MATCH(PersonCalcYr1!$S230,'Lookup Tables'!$AQ$46:$BC$46),FALSE)</f>
        <v>10</v>
      </c>
      <c r="U230" s="19">
        <f>IF(P230&lt;T230,P230,T230)</f>
        <v>10</v>
      </c>
      <c r="V230" s="119">
        <f>IF((U230)&lt;=0,0,1)</f>
        <v>1</v>
      </c>
      <c r="W230" s="20">
        <f>(('Rate Tables'!$D104*$E230)*PersonCalcYr1!$U230)*$V230*$F230</f>
        <v>0</v>
      </c>
      <c r="X230" s="8">
        <f>P230-(U230*V230)</f>
        <v>2</v>
      </c>
      <c r="Y230" s="12"/>
      <c r="Z230" s="12"/>
      <c r="AA230" s="12"/>
      <c r="AB230" s="19">
        <f>X230</f>
        <v>2</v>
      </c>
      <c r="AC230" s="123">
        <f>AC212</f>
        <v>13</v>
      </c>
      <c r="AD230" s="121" t="str">
        <f>VLOOKUP(AC230,'Lookup Tables'!$A$38:$B$151,2,FALSE)</f>
        <v>July</v>
      </c>
      <c r="AE230" s="36">
        <f>VLOOKUP(AD230,'Lookup Tables'!$A$22:$B$33,2,FALSE)</f>
        <v>1</v>
      </c>
      <c r="AF230" s="87">
        <f>VLOOKUP($AE230,'Lookup Tables'!$AC$3:$AW$16,MATCH(PersonCalcYr1!$AB230,'Lookup Tables'!$AC$3:$AW$3),FALSE)</f>
        <v>2</v>
      </c>
      <c r="AG230" s="19">
        <f>IF(AB230&lt;AF230,AB230,AF230)</f>
        <v>2</v>
      </c>
      <c r="AH230" s="119">
        <f>IF((AG230)&lt;=0,0,1)</f>
        <v>1</v>
      </c>
      <c r="AI230" s="20">
        <f>(('Rate Tables'!$E104*$E230)*PersonCalcYr1!AG230)*AH230*$F230</f>
        <v>0</v>
      </c>
      <c r="AJ230" s="8">
        <f>AB230-(AG230*AH230)</f>
        <v>0</v>
      </c>
      <c r="AK230" s="12"/>
      <c r="AL230" s="12"/>
      <c r="AM230" s="20"/>
      <c r="AN230" s="12"/>
      <c r="AO230" s="311"/>
      <c r="AP230" s="350" t="s">
        <v>644</v>
      </c>
      <c r="AQ230" s="276" t="s">
        <v>136</v>
      </c>
      <c r="AR230" s="285">
        <f>(((O232+O233+AA232+AA233+AL232+AL233)*AM232)*AR231)*AP232</f>
        <v>0</v>
      </c>
      <c r="AS230" s="12" t="s">
        <v>418</v>
      </c>
    </row>
    <row r="231" spans="1:45" ht="13.5" customHeight="1" x14ac:dyDescent="0.25">
      <c r="A231" s="145"/>
      <c r="B231" s="12" t="s">
        <v>127</v>
      </c>
      <c r="C231" s="12"/>
      <c r="D231" s="12"/>
      <c r="E231" s="12"/>
      <c r="F231" s="12"/>
      <c r="G231" s="12"/>
      <c r="H231" s="12"/>
      <c r="I231" s="12"/>
      <c r="J231" s="12"/>
      <c r="K231" s="12"/>
      <c r="L231" s="13"/>
      <c r="M231" s="13" t="s">
        <v>129</v>
      </c>
      <c r="N231" s="13" t="s">
        <v>128</v>
      </c>
      <c r="O231" s="153" t="s">
        <v>130</v>
      </c>
      <c r="P231" s="12"/>
      <c r="Q231" s="12"/>
      <c r="R231" s="12"/>
      <c r="S231" s="12"/>
      <c r="T231" s="12"/>
      <c r="U231" s="12"/>
      <c r="V231" s="12"/>
      <c r="W231" s="12"/>
      <c r="X231" s="12"/>
      <c r="Y231" s="13" t="s">
        <v>129</v>
      </c>
      <c r="Z231" s="13" t="s">
        <v>128</v>
      </c>
      <c r="AA231" s="153" t="s">
        <v>130</v>
      </c>
      <c r="AB231" s="12"/>
      <c r="AC231" s="12"/>
      <c r="AD231" s="12"/>
      <c r="AE231" s="12"/>
      <c r="AF231" s="12"/>
      <c r="AG231" s="12"/>
      <c r="AH231" s="12"/>
      <c r="AI231" s="12"/>
      <c r="AJ231" s="13" t="s">
        <v>129</v>
      </c>
      <c r="AK231" s="13" t="s">
        <v>128</v>
      </c>
      <c r="AL231" s="153" t="s">
        <v>130</v>
      </c>
      <c r="AM231" s="13" t="s">
        <v>159</v>
      </c>
      <c r="AN231" s="12"/>
      <c r="AO231" s="227"/>
      <c r="AP231" s="358" t="str">
        <f>IF(AP226="50% Sum","no",Personnel!G86)</f>
        <v>No</v>
      </c>
      <c r="AQ231" s="227" t="s">
        <v>582</v>
      </c>
      <c r="AR231" s="663">
        <f>IF(AR226&gt;0,1,0)</f>
        <v>0</v>
      </c>
      <c r="AS231" s="372">
        <f>VLOOKUP('F&amp;ARatesCalc'!$B$1,'F&amp;ARatesCalc'!$A$3:$B$5,2,FALSE)</f>
        <v>0.56999999999999995</v>
      </c>
    </row>
    <row r="232" spans="1:45" ht="13.5" customHeight="1" x14ac:dyDescent="0.25">
      <c r="A232" s="145"/>
      <c r="B232" s="12"/>
      <c r="C232" s="12"/>
      <c r="D232" s="12"/>
      <c r="E232" s="12"/>
      <c r="F232" s="12"/>
      <c r="G232" s="178" t="s">
        <v>430</v>
      </c>
      <c r="H232" s="178" t="str">
        <f>IF(B234="yes",$C$4,A236)</f>
        <v>Sept</v>
      </c>
      <c r="I232" s="12"/>
      <c r="J232" s="12"/>
      <c r="K232" s="12"/>
      <c r="L232" s="12"/>
      <c r="M232" s="129">
        <f>'Rate Tables'!$P$17</f>
        <v>910</v>
      </c>
      <c r="N232" s="146">
        <f>(K228*L228)*F228</f>
        <v>0</v>
      </c>
      <c r="O232" s="154">
        <f>M232*N232</f>
        <v>0</v>
      </c>
      <c r="P232" s="12"/>
      <c r="Q232" s="12"/>
      <c r="R232" s="12"/>
      <c r="S232" s="12"/>
      <c r="T232" s="12"/>
      <c r="U232" s="12"/>
      <c r="V232" s="12"/>
      <c r="W232" s="12"/>
      <c r="X232" s="12"/>
      <c r="Y232" s="129">
        <f>'Rate Tables'!$P$18</f>
        <v>910</v>
      </c>
      <c r="Z232" s="146">
        <f>U228*V228*F228</f>
        <v>10</v>
      </c>
      <c r="AA232" s="125">
        <f>Y232*Z232</f>
        <v>9100</v>
      </c>
      <c r="AB232" s="12"/>
      <c r="AC232" s="12"/>
      <c r="AD232" s="12"/>
      <c r="AE232" s="12"/>
      <c r="AF232" s="12"/>
      <c r="AG232" s="12"/>
      <c r="AH232" s="12"/>
      <c r="AI232" s="12"/>
      <c r="AJ232" s="129">
        <f>'Rate Tables'!$P$19</f>
        <v>910</v>
      </c>
      <c r="AK232" s="146">
        <f>AG228*AH228*F228</f>
        <v>2</v>
      </c>
      <c r="AL232" s="125">
        <f>AJ232*AK232</f>
        <v>1820</v>
      </c>
      <c r="AM232" s="19">
        <f>VLOOKUP(B206,'Lookup Tables'!$AK$22:$AM$24,3,0)</f>
        <v>1</v>
      </c>
      <c r="AN232" s="12"/>
      <c r="AO232" s="307"/>
      <c r="AP232" s="349">
        <f>IF(AP231="yes",0.5,1)</f>
        <v>1</v>
      </c>
      <c r="AQ232" s="12"/>
      <c r="AR232" s="285"/>
      <c r="AS232" s="12" t="s">
        <v>417</v>
      </c>
    </row>
    <row r="233" spans="1:45" ht="13.5" customHeight="1" x14ac:dyDescent="0.25">
      <c r="A233" s="145"/>
      <c r="B233" s="12"/>
      <c r="C233" s="12"/>
      <c r="D233" s="12"/>
      <c r="E233" s="12"/>
      <c r="F233" s="12"/>
      <c r="G233" s="491" t="s">
        <v>555</v>
      </c>
      <c r="H233" s="175">
        <f>IF(H236&lt;$C$5, H236,$C$5)</f>
        <v>12</v>
      </c>
      <c r="I233" s="178">
        <f>IF(B236&lt;=H236,B236,H236)</f>
        <v>0</v>
      </c>
      <c r="J233" s="12"/>
      <c r="K233" s="12"/>
      <c r="L233" s="12"/>
      <c r="M233" s="129">
        <f>'Rate Tables'!$P$18</f>
        <v>910</v>
      </c>
      <c r="N233" s="146">
        <f>K230*L230*F230</f>
        <v>0</v>
      </c>
      <c r="O233" s="154">
        <f>M233*N233</f>
        <v>0</v>
      </c>
      <c r="P233" s="12"/>
      <c r="Q233" s="12"/>
      <c r="R233" s="12"/>
      <c r="S233" s="12"/>
      <c r="T233" s="12"/>
      <c r="U233" s="12"/>
      <c r="V233" s="12"/>
      <c r="W233" s="12"/>
      <c r="X233" s="12"/>
      <c r="Y233" s="129">
        <f>'Rate Tables'!$P$19</f>
        <v>910</v>
      </c>
      <c r="Z233" s="146">
        <f>U230*V230*F230</f>
        <v>0</v>
      </c>
      <c r="AA233" s="125">
        <f>Y233*Z233</f>
        <v>0</v>
      </c>
      <c r="AB233" s="12"/>
      <c r="AC233" s="12"/>
      <c r="AD233" s="12"/>
      <c r="AE233" s="12"/>
      <c r="AF233" s="12"/>
      <c r="AG233" s="12"/>
      <c r="AH233" s="12"/>
      <c r="AI233" s="12"/>
      <c r="AJ233" s="129">
        <f>'Rate Tables'!$P$20</f>
        <v>928.2</v>
      </c>
      <c r="AK233" s="146">
        <f>AG230*AH230*F230</f>
        <v>0</v>
      </c>
      <c r="AL233" s="125">
        <f>AJ233*AK233</f>
        <v>0</v>
      </c>
      <c r="AM233" s="12" t="s">
        <v>244</v>
      </c>
      <c r="AN233" s="12"/>
      <c r="AO233" s="307"/>
      <c r="AP233" s="12"/>
      <c r="AQ233" s="12"/>
      <c r="AR233" s="285"/>
      <c r="AS233" s="12">
        <f>(AR234+AR235)*AS231</f>
        <v>0</v>
      </c>
    </row>
    <row r="234" spans="1:45" ht="13.5" customHeight="1" x14ac:dyDescent="0.25">
      <c r="A234" s="377" t="s">
        <v>431</v>
      </c>
      <c r="B234" s="375" t="str">
        <f>Personnel!E82</f>
        <v>YES</v>
      </c>
      <c r="C234" s="12"/>
      <c r="D234" s="12"/>
      <c r="E234" s="12"/>
      <c r="F234" s="12"/>
      <c r="G234" s="491" t="s">
        <v>559</v>
      </c>
      <c r="H234" s="12">
        <f>AO219</f>
        <v>0</v>
      </c>
      <c r="I234" s="12"/>
      <c r="J234" s="12"/>
      <c r="K234" s="12"/>
      <c r="L234" s="12"/>
      <c r="M234" s="12"/>
      <c r="N234" s="12"/>
      <c r="O234" s="155"/>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f>IF(AR234&gt;=1,1,0)</f>
        <v>0</v>
      </c>
      <c r="AN234" s="12"/>
      <c r="AO234" s="227"/>
      <c r="AP234" s="226"/>
      <c r="AQ234" s="278" t="s">
        <v>96</v>
      </c>
      <c r="AR234" s="285">
        <f>AR208+AR217+AR226</f>
        <v>0</v>
      </c>
      <c r="AS234" s="15"/>
    </row>
    <row r="235" spans="1:45" ht="13.5" customHeight="1" thickBot="1" x14ac:dyDescent="0.3">
      <c r="A235" s="296" t="s">
        <v>439</v>
      </c>
      <c r="B235" s="114" t="s">
        <v>427</v>
      </c>
      <c r="C235" s="12"/>
      <c r="D235" s="12"/>
      <c r="E235" s="12"/>
      <c r="F235" s="12"/>
      <c r="G235" s="491" t="s">
        <v>560</v>
      </c>
      <c r="H235" s="178">
        <f>VLOOKUP(H228,'Lookup Tables'!$L$62:$Y$74,MATCH(G228,'Lookup Tables'!$L$62:$Y$62,FALSE))</f>
        <v>65</v>
      </c>
      <c r="I235" s="12"/>
      <c r="J235" s="12"/>
      <c r="K235" s="12"/>
      <c r="L235" s="12"/>
      <c r="M235" s="12"/>
      <c r="N235" s="12"/>
      <c r="O235" s="155"/>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227"/>
      <c r="AP235" s="224"/>
      <c r="AQ235" s="278" t="s">
        <v>415</v>
      </c>
      <c r="AR235" s="285">
        <f>AR210+AR218+AR228</f>
        <v>0</v>
      </c>
      <c r="AS235" s="15"/>
    </row>
    <row r="236" spans="1:45" ht="13.5" customHeight="1" thickBot="1" x14ac:dyDescent="0.3">
      <c r="A236" s="380">
        <f>Personnel!E83</f>
        <v>0</v>
      </c>
      <c r="B236" s="273">
        <f>Personnel!E84</f>
        <v>0</v>
      </c>
      <c r="C236" s="12"/>
      <c r="D236" s="12"/>
      <c r="E236" s="12"/>
      <c r="F236" s="12"/>
      <c r="G236" s="12"/>
      <c r="H236" s="175">
        <f>VLOOKUP($E$4,'Lookup Tables'!$L$46:$AA$58,MATCH($H$210,'Lookup Tables'!$L$46:$X$46),FALSE)</f>
        <v>12</v>
      </c>
      <c r="I236" s="12"/>
      <c r="J236" s="12"/>
      <c r="K236" s="12"/>
      <c r="L236" s="12"/>
      <c r="M236" s="12"/>
      <c r="N236" s="12"/>
      <c r="O236" s="155"/>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227"/>
      <c r="AP236" s="224"/>
      <c r="AQ236" s="278" t="s">
        <v>185</v>
      </c>
      <c r="AR236" s="285">
        <f>(AR212+AR220+AR230)*AM234</f>
        <v>0</v>
      </c>
      <c r="AS236" s="373">
        <f>AR234+AR235+AR236+AS233</f>
        <v>0</v>
      </c>
    </row>
    <row r="237" spans="1:45" ht="6" customHeight="1" thickBot="1" x14ac:dyDescent="0.3">
      <c r="A237" s="148"/>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49"/>
      <c r="AL237" s="149"/>
      <c r="AM237" s="149"/>
      <c r="AN237" s="149"/>
      <c r="AO237" s="280"/>
      <c r="AP237" s="149"/>
      <c r="AQ237" s="149"/>
      <c r="AR237" s="281"/>
      <c r="AS237" s="374"/>
    </row>
    <row r="238" spans="1:45" ht="13.5" customHeight="1" x14ac:dyDescent="0.25">
      <c r="A238" s="257" t="s">
        <v>197</v>
      </c>
      <c r="B238" s="359" t="str">
        <f>Personnel!C90</f>
        <v>12 Month</v>
      </c>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282"/>
      <c r="AP238" s="144"/>
      <c r="AQ238" s="144"/>
      <c r="AR238" s="283"/>
      <c r="AS238" s="12"/>
    </row>
    <row r="239" spans="1:45" ht="13.5" customHeight="1" x14ac:dyDescent="0.25">
      <c r="A239" s="258" t="s">
        <v>174</v>
      </c>
      <c r="B239" s="155" t="s">
        <v>12</v>
      </c>
      <c r="C239" s="259" t="s">
        <v>605</v>
      </c>
      <c r="D239" s="12"/>
      <c r="E239" s="12"/>
      <c r="F239" s="12"/>
      <c r="G239" s="12" t="s">
        <v>182</v>
      </c>
      <c r="H239" s="12"/>
      <c r="I239" s="12"/>
      <c r="J239" s="12"/>
      <c r="K239" s="12"/>
      <c r="L239" s="12"/>
      <c r="M239" s="12" t="s">
        <v>167</v>
      </c>
      <c r="N239" s="12"/>
      <c r="O239" s="12">
        <v>21</v>
      </c>
      <c r="P239" s="12"/>
      <c r="Q239" s="12"/>
      <c r="R239" s="12"/>
      <c r="S239" s="12"/>
      <c r="T239" s="12"/>
      <c r="U239" s="12"/>
      <c r="V239" s="12"/>
      <c r="W239" s="12"/>
      <c r="X239" s="12"/>
      <c r="Y239" s="12" t="s">
        <v>168</v>
      </c>
      <c r="Z239" s="12"/>
      <c r="AA239" s="12">
        <v>22</v>
      </c>
      <c r="AB239" s="12"/>
      <c r="AC239" s="12"/>
      <c r="AD239" s="12"/>
      <c r="AE239" s="12"/>
      <c r="AF239" s="12"/>
      <c r="AG239" s="12"/>
      <c r="AH239" s="12"/>
      <c r="AI239" s="12"/>
      <c r="AJ239" s="12" t="s">
        <v>169</v>
      </c>
      <c r="AK239" s="12"/>
      <c r="AL239" s="12">
        <v>23</v>
      </c>
      <c r="AM239" s="12"/>
      <c r="AN239" s="12"/>
      <c r="AO239" s="227"/>
      <c r="AP239" s="12"/>
      <c r="AQ239" s="12"/>
      <c r="AR239" s="275"/>
      <c r="AS239" s="12"/>
    </row>
    <row r="240" spans="1:45" ht="13.5" customHeight="1" x14ac:dyDescent="0.25">
      <c r="A240" s="356">
        <f>Personnel!C91</f>
        <v>0</v>
      </c>
      <c r="B240" s="357">
        <f>Personnel!C92</f>
        <v>0</v>
      </c>
      <c r="C240" s="115">
        <f>(B240*9)*2</f>
        <v>0</v>
      </c>
      <c r="D240" s="12"/>
      <c r="E240" s="12"/>
      <c r="F240" s="12"/>
      <c r="G240" s="12"/>
      <c r="H240" s="12"/>
      <c r="I240" s="12"/>
      <c r="J240" s="12"/>
      <c r="K240" s="12"/>
      <c r="L240" s="12"/>
      <c r="M240" s="12"/>
      <c r="N240" s="12"/>
      <c r="O240" s="12">
        <v>22</v>
      </c>
      <c r="P240" s="12"/>
      <c r="Q240" s="12"/>
      <c r="R240" s="12"/>
      <c r="S240" s="12"/>
      <c r="T240" s="12"/>
      <c r="U240" s="12"/>
      <c r="V240" s="12"/>
      <c r="W240" s="12"/>
      <c r="X240" s="12"/>
      <c r="Y240" s="12"/>
      <c r="Z240" s="12"/>
      <c r="AA240" s="12">
        <v>23</v>
      </c>
      <c r="AB240" s="12"/>
      <c r="AC240" s="12"/>
      <c r="AD240" s="12"/>
      <c r="AE240" s="12"/>
      <c r="AF240" s="12"/>
      <c r="AG240" s="12"/>
      <c r="AH240" s="12"/>
      <c r="AI240" s="12"/>
      <c r="AJ240" s="12"/>
      <c r="AK240" s="12"/>
      <c r="AL240" s="12">
        <v>24</v>
      </c>
      <c r="AM240" s="12"/>
      <c r="AN240" s="12"/>
      <c r="AO240" s="306" t="s">
        <v>412</v>
      </c>
      <c r="AP240" s="348">
        <f>Personnel!G91</f>
        <v>0</v>
      </c>
      <c r="AQ240" s="276" t="s">
        <v>414</v>
      </c>
      <c r="AR240" s="285">
        <f>(N242+Z242+AK242+N244+Z244+AK244)*AM242</f>
        <v>0</v>
      </c>
      <c r="AS240" s="15"/>
    </row>
    <row r="241" spans="1:45" ht="13.5" customHeight="1" x14ac:dyDescent="0.25">
      <c r="A241" s="145"/>
      <c r="B241" s="12"/>
      <c r="C241" s="117" t="s">
        <v>30</v>
      </c>
      <c r="D241" s="12"/>
      <c r="E241" s="13" t="s">
        <v>16</v>
      </c>
      <c r="F241" s="13" t="s">
        <v>42</v>
      </c>
      <c r="G241" s="13" t="s">
        <v>41</v>
      </c>
      <c r="H241" s="65" t="s">
        <v>77</v>
      </c>
      <c r="I241" s="64" t="s">
        <v>90</v>
      </c>
      <c r="J241" s="63" t="s">
        <v>70</v>
      </c>
      <c r="K241" s="52" t="s">
        <v>93</v>
      </c>
      <c r="L241" s="13" t="s">
        <v>35</v>
      </c>
      <c r="M241" s="13" t="s">
        <v>82</v>
      </c>
      <c r="N241" s="13" t="s">
        <v>31</v>
      </c>
      <c r="O241" s="14" t="s">
        <v>69</v>
      </c>
      <c r="P241" s="13" t="s">
        <v>72</v>
      </c>
      <c r="Q241" s="65" t="s">
        <v>80</v>
      </c>
      <c r="R241" s="62" t="s">
        <v>81</v>
      </c>
      <c r="S241" s="65" t="s">
        <v>77</v>
      </c>
      <c r="T241" s="600" t="s">
        <v>83</v>
      </c>
      <c r="U241" s="63" t="s">
        <v>70</v>
      </c>
      <c r="V241" s="13" t="s">
        <v>91</v>
      </c>
      <c r="W241" s="13" t="s">
        <v>43</v>
      </c>
      <c r="X241" s="13" t="s">
        <v>53</v>
      </c>
      <c r="Y241" s="13" t="s">
        <v>68</v>
      </c>
      <c r="Z241" s="13" t="s">
        <v>32</v>
      </c>
      <c r="AA241" s="14" t="s">
        <v>69</v>
      </c>
      <c r="AB241" s="13" t="s">
        <v>72</v>
      </c>
      <c r="AC241" s="13" t="s">
        <v>80</v>
      </c>
      <c r="AD241" s="62" t="s">
        <v>81</v>
      </c>
      <c r="AE241" s="65" t="s">
        <v>77</v>
      </c>
      <c r="AF241" s="63" t="s">
        <v>70</v>
      </c>
      <c r="AG241" s="13" t="s">
        <v>92</v>
      </c>
      <c r="AH241" s="13" t="s">
        <v>44</v>
      </c>
      <c r="AI241" s="13" t="s">
        <v>78</v>
      </c>
      <c r="AJ241" s="13" t="s">
        <v>68</v>
      </c>
      <c r="AK241" s="13" t="s">
        <v>33</v>
      </c>
      <c r="AL241" s="14" t="s">
        <v>69</v>
      </c>
      <c r="AM241" s="13" t="s">
        <v>159</v>
      </c>
      <c r="AN241" s="12"/>
      <c r="AO241" s="227"/>
      <c r="AP241" s="349"/>
      <c r="AQ241" s="227"/>
      <c r="AR241" s="285"/>
      <c r="AS241" s="15"/>
    </row>
    <row r="242" spans="1:45" ht="13.5" customHeight="1" x14ac:dyDescent="0.25">
      <c r="A242" s="145"/>
      <c r="B242" s="12"/>
      <c r="C242" s="115"/>
      <c r="D242" s="12"/>
      <c r="E242" s="118">
        <f>AP240</f>
        <v>0</v>
      </c>
      <c r="F242" s="19">
        <f>IF($D$4=2022,1,0)</f>
        <v>1</v>
      </c>
      <c r="G242" s="178">
        <f>IF($B266="Yes",$C$5,$I265)</f>
        <v>12</v>
      </c>
      <c r="H242" s="36">
        <f>VLOOKUP(H264,'Lookup Tables'!$A$22:$B$33,2,FALSE)</f>
        <v>3</v>
      </c>
      <c r="I242" s="192">
        <f>VLOOKUP($E$4,'Lookup Tables'!$AB$46:$AN$58,MATCH($H242,'Lookup Tables'!$AB$46:$AN$46),FALSE)</f>
        <v>12</v>
      </c>
      <c r="J242" s="586">
        <f>VLOOKUP(H242,'Lookup Tables'!$A$3:$AA$16,MATCH(PersonCalcYr1!$G242,'Lookup Tables'!$A$3:$AA$3),FALSE)</f>
        <v>1.5161</v>
      </c>
      <c r="K242" s="54">
        <f>VLOOKUP($H264,'Lookup Tables'!$K$23:$L$34,2,FALSE)</f>
        <v>0</v>
      </c>
      <c r="L242" s="12">
        <f>IF(G242&lt;=K242,G242,K242)</f>
        <v>0</v>
      </c>
      <c r="M242" s="195">
        <f>IF(12-I242&gt;=1,1,0)</f>
        <v>0</v>
      </c>
      <c r="N242" s="15">
        <f>(('Rate Tables'!B85*PersonCalcYr1!E242)*PersonCalcYr1!L242)*PersonCalcYr1!F242*M242</f>
        <v>0</v>
      </c>
      <c r="O242" s="28">
        <f>G242-((J242+L242)*M242)</f>
        <v>12</v>
      </c>
      <c r="P242" s="8">
        <f>IF(O242&lt;0,O242*0,1)*O242</f>
        <v>12</v>
      </c>
      <c r="Q242" s="120">
        <f>VLOOKUP($H264,'Lookup Tables'!$A$22:$B$33,2,FALSE)+(L242*M242)+(J242*M242)</f>
        <v>3</v>
      </c>
      <c r="R242" s="121" t="str">
        <f>VLOOKUP(Q242,'Lookup Tables'!$A$38:$B$151,2,FALSE)</f>
        <v>Sept</v>
      </c>
      <c r="S242" s="36">
        <f>VLOOKUP(R242,'Lookup Tables'!$A$22:$B$33,2,FALSE)</f>
        <v>3</v>
      </c>
      <c r="T242" s="599">
        <f>VLOOKUP($E$4,'Lookup Tables'!$AB$63:$AN$75,MATCH(PersonCalcYr1!$S242,'Lookup Tables'!$AB$63:$AN$63),FALSE)</f>
        <v>0.5161</v>
      </c>
      <c r="U242" s="34">
        <f>VLOOKUP(S242,'Lookup Tables'!$A$3:$AA$16,MATCH(PersonCalcYr1!$P242,'Lookup Tables'!$A$3:$AA$3),FALSE)</f>
        <v>1.5161</v>
      </c>
      <c r="V242" s="12">
        <f>9-T242</f>
        <v>8.4839000000000002</v>
      </c>
      <c r="W242" s="122">
        <f>P242-U242</f>
        <v>10.4839</v>
      </c>
      <c r="X242" s="119">
        <f>IF(V242&lt;=W242,V242,W242)</f>
        <v>8.4839000000000002</v>
      </c>
      <c r="Y242" s="195">
        <f>IF(12-T242-U242-X242&gt;=0,1,0)</f>
        <v>1</v>
      </c>
      <c r="Z242" s="20">
        <f>((('Rate Tables'!C85*$E242)*PersonCalcYr1!$X242)*$F242)*Y242</f>
        <v>0</v>
      </c>
      <c r="AA242" s="197">
        <f>O242-(((U242*U246)+X242)*Y242)</f>
        <v>2</v>
      </c>
      <c r="AB242" s="8">
        <f>IF(AA242&lt;0,AA242*0,1)*AA242</f>
        <v>2</v>
      </c>
      <c r="AC242" s="601">
        <f>S242+(X242*Y242)+((U242*U246)*Y242)</f>
        <v>13</v>
      </c>
      <c r="AD242" s="121" t="str">
        <f>VLOOKUP(AC242,'Lookup Tables'!$A$38:$B$151,2,FALSE)</f>
        <v>July</v>
      </c>
      <c r="AE242" s="36">
        <f>VLOOKUP(AD242,'Lookup Tables'!$A$22:$B$33,2,FALSE)</f>
        <v>1</v>
      </c>
      <c r="AF242" s="34">
        <f>VLOOKUP(AE242,'Lookup Tables'!$A$3:$AA$16,MATCH(PersonCalcYr1!AB242,'Lookup Tables'!$A$3:$AA$3),FALSE)</f>
        <v>1.4839</v>
      </c>
      <c r="AG242" s="12">
        <v>9</v>
      </c>
      <c r="AH242" s="122">
        <f>AB242-AF242</f>
        <v>0.5161</v>
      </c>
      <c r="AI242" s="119">
        <f>IF(AG242&lt;=AH242,AG242,AH242)</f>
        <v>0.5161</v>
      </c>
      <c r="AJ242" s="119">
        <f>IF((AG242+AF242)&lt;=0,0,1)</f>
        <v>1</v>
      </c>
      <c r="AK242" s="124">
        <f>((('Rate Tables'!D85*$E242)*PersonCalcYr1!AI242)*$F242)*AJ242</f>
        <v>0</v>
      </c>
      <c r="AL242" s="28">
        <f>AB242-AF242-AI242</f>
        <v>0</v>
      </c>
      <c r="AM242" s="19">
        <f>VLOOKUP(B238,'Lookup Tables'!$AK$22:$AM$24,2,0)</f>
        <v>0</v>
      </c>
      <c r="AN242" s="12"/>
      <c r="AO242" s="227"/>
      <c r="AP242" s="350"/>
      <c r="AQ242" s="276" t="s">
        <v>184</v>
      </c>
      <c r="AR242" s="285">
        <f>AR240*'Rate Tables'!P$8</f>
        <v>0</v>
      </c>
      <c r="AS242" s="15"/>
    </row>
    <row r="243" spans="1:45" ht="13.5" customHeight="1" x14ac:dyDescent="0.25">
      <c r="A243" s="145"/>
      <c r="B243" s="12"/>
      <c r="C243" s="117" t="s">
        <v>597</v>
      </c>
      <c r="D243" s="12"/>
      <c r="E243" s="13" t="s">
        <v>16</v>
      </c>
      <c r="F243" s="13" t="s">
        <v>42</v>
      </c>
      <c r="G243" s="13" t="s">
        <v>41</v>
      </c>
      <c r="H243" s="65" t="s">
        <v>77</v>
      </c>
      <c r="I243" s="64" t="s">
        <v>90</v>
      </c>
      <c r="J243" s="63" t="s">
        <v>70</v>
      </c>
      <c r="K243" s="52" t="s">
        <v>109</v>
      </c>
      <c r="L243" s="13" t="s">
        <v>53</v>
      </c>
      <c r="M243" s="13" t="s">
        <v>82</v>
      </c>
      <c r="N243" s="13" t="s">
        <v>32</v>
      </c>
      <c r="O243" s="14" t="s">
        <v>69</v>
      </c>
      <c r="P243" s="13" t="s">
        <v>72</v>
      </c>
      <c r="Q243" s="65" t="s">
        <v>80</v>
      </c>
      <c r="R243" s="62" t="s">
        <v>81</v>
      </c>
      <c r="S243" s="65" t="s">
        <v>77</v>
      </c>
      <c r="T243" s="600" t="s">
        <v>83</v>
      </c>
      <c r="U243" s="63" t="s">
        <v>70</v>
      </c>
      <c r="V243" s="13" t="s">
        <v>92</v>
      </c>
      <c r="W243" s="13" t="s">
        <v>44</v>
      </c>
      <c r="X243" s="13" t="s">
        <v>78</v>
      </c>
      <c r="Y243" s="13" t="s">
        <v>68</v>
      </c>
      <c r="Z243" s="13" t="s">
        <v>33</v>
      </c>
      <c r="AA243" s="14" t="s">
        <v>69</v>
      </c>
      <c r="AB243" s="13" t="s">
        <v>72</v>
      </c>
      <c r="AC243" s="13" t="s">
        <v>80</v>
      </c>
      <c r="AD243" s="62" t="s">
        <v>81</v>
      </c>
      <c r="AE243" s="65" t="s">
        <v>77</v>
      </c>
      <c r="AF243" s="63" t="s">
        <v>70</v>
      </c>
      <c r="AG243" s="13" t="s">
        <v>94</v>
      </c>
      <c r="AH243" s="13" t="s">
        <v>45</v>
      </c>
      <c r="AI243" s="13" t="s">
        <v>79</v>
      </c>
      <c r="AJ243" s="13" t="s">
        <v>68</v>
      </c>
      <c r="AK243" s="13" t="s">
        <v>34</v>
      </c>
      <c r="AL243" s="14" t="s">
        <v>69</v>
      </c>
      <c r="AM243" s="13"/>
      <c r="AN243" s="12"/>
      <c r="AO243" s="227"/>
      <c r="AP243" s="351"/>
      <c r="AQ243" s="227"/>
      <c r="AR243" s="285"/>
      <c r="AS243" s="15"/>
    </row>
    <row r="244" spans="1:45" ht="13.5" customHeight="1" x14ac:dyDescent="0.25">
      <c r="A244" s="145"/>
      <c r="B244" s="12"/>
      <c r="C244" s="115"/>
      <c r="D244" s="12"/>
      <c r="E244" s="118">
        <f>AP240</f>
        <v>0</v>
      </c>
      <c r="F244" s="19">
        <f>IF($D$4=2023,1,0)</f>
        <v>0</v>
      </c>
      <c r="G244" s="178">
        <f>IF($B266="Yes",$C$5,$I265)</f>
        <v>12</v>
      </c>
      <c r="H244" s="36">
        <f>VLOOKUP(H264,'Lookup Tables'!$A$22:$B$33,2,FALSE)</f>
        <v>3</v>
      </c>
      <c r="I244" s="192">
        <f>VLOOKUP($E$4,'Lookup Tables'!$AB$46:$AN$58,MATCH($H244,'Lookup Tables'!$AB$46:$AN$46),FALSE)</f>
        <v>12</v>
      </c>
      <c r="J244" s="33">
        <f>VLOOKUP(H244,'Lookup Tables'!$A$3:$AA$16,MATCH(PersonCalcYr1!$G244,'Lookup Tables'!$A$3:$AA$3),FALSE)</f>
        <v>1.5161</v>
      </c>
      <c r="K244" s="54">
        <f>VLOOKUP($H264,'Lookup Tables'!$K$23:$L$34,2,FALSE)</f>
        <v>0</v>
      </c>
      <c r="L244" s="12">
        <f>IF(G244&lt;=K244,G244,K244)</f>
        <v>0</v>
      </c>
      <c r="M244" s="195">
        <f>IF(12-I244&gt;=1,1,0)</f>
        <v>0</v>
      </c>
      <c r="N244" s="15">
        <f>(('Rate Tables'!C85*PersonCalcYr1!E244)*PersonCalcYr1!L244)*PersonCalcYr1!F244*M244</f>
        <v>0</v>
      </c>
      <c r="O244" s="28">
        <f>G244-((J244+L244)*M244)</f>
        <v>12</v>
      </c>
      <c r="P244" s="8">
        <f>IF(O244&lt;0,O244*0,1)*O244</f>
        <v>12</v>
      </c>
      <c r="Q244" s="120">
        <f>VLOOKUP($H264,'Lookup Tables'!$A$22:$B$33,2,FALSE)+(L244*M244)+(J244*M244)</f>
        <v>3</v>
      </c>
      <c r="R244" s="121" t="str">
        <f>VLOOKUP(Q244,'Lookup Tables'!$A$38:$B$151,2,FALSE)</f>
        <v>Sept</v>
      </c>
      <c r="S244" s="36">
        <f>VLOOKUP(R244,'Lookup Tables'!$A$22:$B$33,2,FALSE)</f>
        <v>3</v>
      </c>
      <c r="T244" s="599">
        <f>VLOOKUP($E$4,'Lookup Tables'!$AB$63:$AN$75,MATCH(PersonCalcYr1!$S244,'Lookup Tables'!$AB$63:$AN$63),FALSE)</f>
        <v>0.5161</v>
      </c>
      <c r="U244" s="34">
        <f>VLOOKUP(S244,'Lookup Tables'!$A$3:$AA$16,MATCH(PersonCalcYr1!$P244,'Lookup Tables'!$A$3:$AA$3),FALSE)</f>
        <v>1.5161</v>
      </c>
      <c r="V244" s="12">
        <f>9-T244</f>
        <v>8.4839000000000002</v>
      </c>
      <c r="W244" s="122">
        <f>P244-U244</f>
        <v>10.4839</v>
      </c>
      <c r="X244" s="119">
        <f>IF(V244&lt;=W244,V244,W244)</f>
        <v>8.4839000000000002</v>
      </c>
      <c r="Y244" s="195">
        <f>IF(12-T244-U244-X244&gt;=0,1,0)</f>
        <v>1</v>
      </c>
      <c r="Z244" s="20">
        <f>((('Rate Tables'!D85*$E244)*PersonCalcYr1!$X244)*$F244)*Y244</f>
        <v>0</v>
      </c>
      <c r="AA244" s="197">
        <f>O244-(((U244*U246)+X244)*Y244)</f>
        <v>2</v>
      </c>
      <c r="AB244" s="8">
        <f>IF(AA244&lt;0,AA244*0,1)*AA244</f>
        <v>2</v>
      </c>
      <c r="AC244" s="601">
        <f>S244+(X244*Y244)+((U244*U246)*Y244)</f>
        <v>13</v>
      </c>
      <c r="AD244" s="121" t="str">
        <f>VLOOKUP(AC244,'Lookup Tables'!$A$38:$B$151,2,FALSE)</f>
        <v>July</v>
      </c>
      <c r="AE244" s="36">
        <f>VLOOKUP(AD244,'Lookup Tables'!$A$22:$B$33,2,FALSE)</f>
        <v>1</v>
      </c>
      <c r="AF244" s="34">
        <f>VLOOKUP(AE244,'Lookup Tables'!$A$3:$AA$16,MATCH(PersonCalcYr1!AB244,'Lookup Tables'!$A$3:$AA$3),FALSE)</f>
        <v>1.4839</v>
      </c>
      <c r="AG244" s="12">
        <v>9</v>
      </c>
      <c r="AH244" s="122">
        <f>AB244-AF244</f>
        <v>0.5161</v>
      </c>
      <c r="AI244" s="119">
        <f>IF(AG244&lt;=AH244,AG244,AH244)</f>
        <v>0.5161</v>
      </c>
      <c r="AJ244" s="119">
        <f>IF((AG244+AF244)&lt;=0,0,1)</f>
        <v>1</v>
      </c>
      <c r="AK244" s="124">
        <f>((('Rate Tables'!E85*$E244)*PersonCalcYr1!AI244)*$F244)*AJ244</f>
        <v>0</v>
      </c>
      <c r="AL244" s="28">
        <f>AB244-AF244-AI244</f>
        <v>0</v>
      </c>
      <c r="AM244" s="19"/>
      <c r="AN244" s="12"/>
      <c r="AO244" s="1199" t="s">
        <v>580</v>
      </c>
      <c r="AP244" s="349" t="s">
        <v>643</v>
      </c>
      <c r="AQ244" s="276" t="s">
        <v>134</v>
      </c>
      <c r="AR244" s="285">
        <f>(((O246+O247+AA246+AA247+AL246+AL247)*AM246)*AR245)*AP247</f>
        <v>0</v>
      </c>
      <c r="AS244" s="15"/>
    </row>
    <row r="245" spans="1:45" ht="13.5" customHeight="1" x14ac:dyDescent="0.25">
      <c r="A245" s="145"/>
      <c r="B245" s="12"/>
      <c r="C245" s="115"/>
      <c r="D245" s="12"/>
      <c r="E245" s="118"/>
      <c r="F245" s="19"/>
      <c r="G245" s="12"/>
      <c r="H245" s="12"/>
      <c r="I245" s="141"/>
      <c r="J245" s="228" t="s">
        <v>183</v>
      </c>
      <c r="K245" s="13" t="s">
        <v>181</v>
      </c>
      <c r="L245" s="13" t="s">
        <v>179</v>
      </c>
      <c r="M245" s="13" t="s">
        <v>180</v>
      </c>
      <c r="N245" s="660" t="s">
        <v>128</v>
      </c>
      <c r="O245" s="135" t="s">
        <v>130</v>
      </c>
      <c r="P245" s="8"/>
      <c r="Q245" s="123"/>
      <c r="R245" s="12"/>
      <c r="S245" s="12"/>
      <c r="T245" s="12"/>
      <c r="U245" s="12"/>
      <c r="V245" s="228" t="s">
        <v>183</v>
      </c>
      <c r="W245" s="13" t="s">
        <v>181</v>
      </c>
      <c r="X245" s="13" t="s">
        <v>179</v>
      </c>
      <c r="Y245" s="13" t="s">
        <v>180</v>
      </c>
      <c r="Z245" s="13" t="s">
        <v>128</v>
      </c>
      <c r="AA245" s="135" t="s">
        <v>130</v>
      </c>
      <c r="AB245" s="8"/>
      <c r="AC245" s="123"/>
      <c r="AD245" s="12"/>
      <c r="AE245" s="12"/>
      <c r="AF245" s="12"/>
      <c r="AG245" s="228" t="s">
        <v>183</v>
      </c>
      <c r="AH245" s="13" t="s">
        <v>181</v>
      </c>
      <c r="AI245" s="13" t="s">
        <v>179</v>
      </c>
      <c r="AJ245" s="13" t="s">
        <v>180</v>
      </c>
      <c r="AK245" s="52" t="s">
        <v>128</v>
      </c>
      <c r="AL245" s="135" t="s">
        <v>130</v>
      </c>
      <c r="AM245" s="13" t="s">
        <v>159</v>
      </c>
      <c r="AN245" s="12"/>
      <c r="AO245" s="1199"/>
      <c r="AP245" s="350" t="s">
        <v>644</v>
      </c>
      <c r="AQ245" s="227" t="s">
        <v>582</v>
      </c>
      <c r="AR245" s="663">
        <f>IF(AR240&gt;0,1,0)</f>
        <v>0</v>
      </c>
      <c r="AS245" s="15"/>
    </row>
    <row r="246" spans="1:45" ht="13.5" customHeight="1" x14ac:dyDescent="0.25">
      <c r="A246" s="145"/>
      <c r="B246" s="227"/>
      <c r="C246" s="115"/>
      <c r="D246" s="12"/>
      <c r="E246" s="118"/>
      <c r="F246" s="19"/>
      <c r="G246" s="12"/>
      <c r="H246" s="12"/>
      <c r="I246" s="141"/>
      <c r="J246" s="141">
        <f>IF($AO251&gt;0,1,0)</f>
        <v>0</v>
      </c>
      <c r="K246" s="12">
        <f>IF($AO251=0,1,0)</f>
        <v>1</v>
      </c>
      <c r="L246" s="129">
        <f>'Rate Tables'!$P$17</f>
        <v>910</v>
      </c>
      <c r="M246" s="129">
        <f>'Rate Tables'!$Q$17</f>
        <v>933.34</v>
      </c>
      <c r="N246" s="661">
        <f>ROUNDUP(N248,0)</f>
        <v>0</v>
      </c>
      <c r="O246" s="136">
        <f>((J246*L246)+(K246*M246))*N246</f>
        <v>0</v>
      </c>
      <c r="P246" s="8"/>
      <c r="Q246" s="123"/>
      <c r="R246" s="12"/>
      <c r="S246" s="12"/>
      <c r="T246" s="605" t="s">
        <v>573</v>
      </c>
      <c r="U246" s="606">
        <f>VLOOKUP($E$4,'Lookup Tables'!$L$79:$X$91,MATCH(PersonCalcYr1!$S242,'Lookup Tables'!$L$79:$X$79),FALSE)</f>
        <v>1</v>
      </c>
      <c r="V246" s="141">
        <f>IF($AO251&gt;0,1,0)</f>
        <v>0</v>
      </c>
      <c r="W246" s="12">
        <f>IF($AO251=0,1,0)</f>
        <v>1</v>
      </c>
      <c r="X246" s="129">
        <f>'Rate Tables'!$P$18</f>
        <v>910</v>
      </c>
      <c r="Y246" s="129">
        <f>'Rate Tables'!$Q$18</f>
        <v>933.34</v>
      </c>
      <c r="Z246" s="657">
        <f>IF(Y248&lt;=AA249,Y248,AA249)</f>
        <v>9</v>
      </c>
      <c r="AA246" s="136">
        <f>((V246*X246)+(W246*Y246))*Z246</f>
        <v>8400.06</v>
      </c>
      <c r="AB246" s="8"/>
      <c r="AC246" s="123"/>
      <c r="AD246" s="12"/>
      <c r="AE246" s="12"/>
      <c r="AF246" s="12"/>
      <c r="AG246" s="141">
        <f>IF($AO251&gt;0,1,0)</f>
        <v>0</v>
      </c>
      <c r="AH246" s="12">
        <f>IF($AO251=0,1,0)</f>
        <v>1</v>
      </c>
      <c r="AI246" s="129">
        <f>'Rate Tables'!$P$19</f>
        <v>910</v>
      </c>
      <c r="AJ246" s="129">
        <f>'Rate Tables'!$Q$19</f>
        <v>933.34</v>
      </c>
      <c r="AK246" s="657">
        <f>IF(AJ248&lt;=AL248,AJ248,AL248)</f>
        <v>0</v>
      </c>
      <c r="AL246" s="136">
        <f>((AG246*AI246)+(AH246*AJ246))*AK246</f>
        <v>0</v>
      </c>
      <c r="AM246" s="19">
        <f>VLOOKUP(B238,'Lookup Tables'!$AK$22:$AM$24,2,0)</f>
        <v>0</v>
      </c>
      <c r="AN246" s="12"/>
      <c r="AO246" s="307">
        <f>N248+N249+Z249+Z250+AK248+AK249</f>
        <v>9</v>
      </c>
      <c r="AP246" s="358" t="str">
        <f>IF(AP240=50%,"no",Personnel!G94)</f>
        <v>No</v>
      </c>
      <c r="AQ246" s="12"/>
      <c r="AR246" s="285"/>
      <c r="AS246" s="15"/>
    </row>
    <row r="247" spans="1:45" ht="13.5" customHeight="1" x14ac:dyDescent="0.25">
      <c r="A247" s="145"/>
      <c r="B247" s="12"/>
      <c r="C247" s="115"/>
      <c r="D247" s="12"/>
      <c r="E247" s="126"/>
      <c r="F247" s="19"/>
      <c r="G247" s="12"/>
      <c r="H247" s="12"/>
      <c r="I247" s="12"/>
      <c r="J247" s="141">
        <f>IF($AO251&gt;0,1,0)</f>
        <v>0</v>
      </c>
      <c r="K247" s="12">
        <f>IF($AO251=0,1,0)</f>
        <v>1</v>
      </c>
      <c r="L247" s="129">
        <f>'Rate Tables'!$P$18</f>
        <v>910</v>
      </c>
      <c r="M247" s="129">
        <f>'Rate Tables'!$Q$18</f>
        <v>933.34</v>
      </c>
      <c r="N247" s="661">
        <f>ROUNDUP(N249,0)</f>
        <v>0</v>
      </c>
      <c r="O247" s="136">
        <f>((J247*L247)+(K247*M247))*N247</f>
        <v>0</v>
      </c>
      <c r="P247" s="19"/>
      <c r="Q247" s="19"/>
      <c r="R247" s="19"/>
      <c r="S247" s="19"/>
      <c r="T247" s="19"/>
      <c r="U247" s="12"/>
      <c r="V247" s="141">
        <f>IF($AO251&gt;0,1,0)</f>
        <v>0</v>
      </c>
      <c r="W247" s="12">
        <f>IF($AO251=0,1,0)</f>
        <v>1</v>
      </c>
      <c r="X247" s="129">
        <f>'Rate Tables'!$P$19</f>
        <v>910</v>
      </c>
      <c r="Y247" s="129">
        <f>'Rate Tables'!$Q$19</f>
        <v>933.34</v>
      </c>
      <c r="Z247" s="657">
        <f>IF(Y248&lt;=AA250,Y248,AA250)</f>
        <v>0</v>
      </c>
      <c r="AA247" s="136">
        <f>((V247*X247)+(W247*Y247))*Z247</f>
        <v>0</v>
      </c>
      <c r="AB247" s="20"/>
      <c r="AC247" s="20"/>
      <c r="AD247" s="20"/>
      <c r="AE247" s="20"/>
      <c r="AF247" s="123"/>
      <c r="AG247" s="141">
        <f>IF($AO251&gt;0,1,0)</f>
        <v>0</v>
      </c>
      <c r="AH247" s="12">
        <f>IF($AO251=0,1,0)</f>
        <v>1</v>
      </c>
      <c r="AI247" s="129">
        <f>'Rate Tables'!$P$20</f>
        <v>928.2</v>
      </c>
      <c r="AJ247" s="129">
        <f>'Rate Tables'!$Q$20</f>
        <v>952</v>
      </c>
      <c r="AK247" s="657">
        <f>IF(AJ248&lt;=AL249,AJ248,AL249)</f>
        <v>0</v>
      </c>
      <c r="AL247" s="136">
        <f>((AG247*AI247)+(AH247*AJ247))*AK247</f>
        <v>0</v>
      </c>
      <c r="AM247" s="19"/>
      <c r="AN247" s="12"/>
      <c r="AO247" s="307">
        <f>ROUNDUP(AO246,0)</f>
        <v>9</v>
      </c>
      <c r="AP247" s="349">
        <f>IF(AP246="yes",0.5,1)</f>
        <v>1</v>
      </c>
      <c r="AQ247" s="12"/>
      <c r="AR247" s="285"/>
      <c r="AS247" s="15"/>
    </row>
    <row r="248" spans="1:45" ht="13.5" customHeight="1" x14ac:dyDescent="0.25">
      <c r="A248" s="145"/>
      <c r="B248" s="12"/>
      <c r="C248" s="115"/>
      <c r="D248" s="12"/>
      <c r="E248" s="126"/>
      <c r="F248" s="19"/>
      <c r="G248" s="12" t="s">
        <v>585</v>
      </c>
      <c r="H248" s="12"/>
      <c r="I248" s="12"/>
      <c r="J248" s="141"/>
      <c r="K248" s="12"/>
      <c r="L248" s="129"/>
      <c r="M248" s="129"/>
      <c r="N248" s="661">
        <f>L242*M242*F242</f>
        <v>0</v>
      </c>
      <c r="O248" s="136"/>
      <c r="P248" s="19"/>
      <c r="Q248" s="19"/>
      <c r="R248" s="19"/>
      <c r="S248" s="19"/>
      <c r="T248" s="19"/>
      <c r="U248" s="12"/>
      <c r="V248" s="141"/>
      <c r="W248" s="12"/>
      <c r="X248" s="653" t="s">
        <v>581</v>
      </c>
      <c r="Y248" s="653">
        <f>AO247-N246-N247</f>
        <v>9</v>
      </c>
      <c r="Z248" s="657"/>
      <c r="AA248" s="125"/>
      <c r="AB248" s="20"/>
      <c r="AC248" s="20"/>
      <c r="AD248" s="20"/>
      <c r="AE248" s="20"/>
      <c r="AF248" s="123"/>
      <c r="AG248" s="141"/>
      <c r="AH248" s="12"/>
      <c r="AI248" s="653" t="s">
        <v>581</v>
      </c>
      <c r="AJ248" s="653">
        <f>Y248-Z246-Z247</f>
        <v>0</v>
      </c>
      <c r="AK248" s="654">
        <f>AI242*AJ242*F242</f>
        <v>0.5161</v>
      </c>
      <c r="AL248" s="655">
        <f>ROUNDUP(AK248,0)</f>
        <v>1</v>
      </c>
      <c r="AM248" s="19"/>
      <c r="AN248" s="12"/>
      <c r="AO248" s="307"/>
      <c r="AP248" s="349"/>
      <c r="AQ248" s="12"/>
      <c r="AR248" s="285"/>
      <c r="AS248" s="15"/>
    </row>
    <row r="249" spans="1:45" ht="13.5" customHeight="1" x14ac:dyDescent="0.25">
      <c r="A249" s="145"/>
      <c r="B249" s="12"/>
      <c r="C249" s="259" t="s">
        <v>606</v>
      </c>
      <c r="D249" s="12"/>
      <c r="E249" s="126"/>
      <c r="F249" s="19"/>
      <c r="G249" s="12"/>
      <c r="H249" s="12"/>
      <c r="I249" s="12"/>
      <c r="J249" s="12"/>
      <c r="K249" s="12"/>
      <c r="L249" s="12"/>
      <c r="M249" s="12"/>
      <c r="N249" s="662">
        <f>L244*M244*F244</f>
        <v>0</v>
      </c>
      <c r="O249" s="18"/>
      <c r="P249" s="19"/>
      <c r="Q249" s="19"/>
      <c r="R249" s="19"/>
      <c r="S249" s="19"/>
      <c r="T249" s="19"/>
      <c r="U249" s="12"/>
      <c r="V249" s="122"/>
      <c r="W249" s="122"/>
      <c r="X249" s="656"/>
      <c r="Y249" s="657"/>
      <c r="Z249" s="654">
        <f>X242*Y242*F242</f>
        <v>8.4839000000000002</v>
      </c>
      <c r="AA249" s="655">
        <f>ROUNDUP(Z249,0)</f>
        <v>9</v>
      </c>
      <c r="AB249" s="20"/>
      <c r="AC249" s="20"/>
      <c r="AD249" s="20"/>
      <c r="AE249" s="20"/>
      <c r="AF249" s="123"/>
      <c r="AG249" s="122"/>
      <c r="AH249" s="122"/>
      <c r="AI249" s="656"/>
      <c r="AJ249" s="656"/>
      <c r="AK249" s="658">
        <f>AI244*AJ244*F244</f>
        <v>0</v>
      </c>
      <c r="AL249" s="659">
        <f>ROUNDUP(AK249,0)</f>
        <v>0</v>
      </c>
      <c r="AM249" s="19"/>
      <c r="AN249" s="12"/>
      <c r="AO249" s="370" t="s">
        <v>411</v>
      </c>
      <c r="AP249" s="352" t="str">
        <f>Personnel!G92</f>
        <v>None</v>
      </c>
      <c r="AQ249" s="276" t="s">
        <v>117</v>
      </c>
      <c r="AR249" s="285">
        <f>(N251+N253+W251+W253+AJ251+AJ253)*AM251</f>
        <v>0</v>
      </c>
      <c r="AS249" s="15"/>
    </row>
    <row r="250" spans="1:45" ht="13.5" customHeight="1" x14ac:dyDescent="0.25">
      <c r="A250" s="145"/>
      <c r="B250" s="12"/>
      <c r="C250" s="117" t="s">
        <v>30</v>
      </c>
      <c r="D250" s="12"/>
      <c r="E250" s="13" t="s">
        <v>84</v>
      </c>
      <c r="F250" s="13" t="s">
        <v>42</v>
      </c>
      <c r="G250" s="13" t="s">
        <v>41</v>
      </c>
      <c r="H250" s="65" t="s">
        <v>77</v>
      </c>
      <c r="I250" s="137" t="s">
        <v>101</v>
      </c>
      <c r="J250" s="139" t="s">
        <v>102</v>
      </c>
      <c r="K250" s="127" t="s">
        <v>98</v>
      </c>
      <c r="L250" s="13" t="s">
        <v>100</v>
      </c>
      <c r="M250" s="13" t="s">
        <v>82</v>
      </c>
      <c r="N250" s="13" t="s">
        <v>31</v>
      </c>
      <c r="O250" s="14" t="s">
        <v>69</v>
      </c>
      <c r="P250" s="13" t="s">
        <v>72</v>
      </c>
      <c r="Q250" s="13" t="s">
        <v>103</v>
      </c>
      <c r="R250" s="65" t="s">
        <v>77</v>
      </c>
      <c r="S250" s="137" t="s">
        <v>101</v>
      </c>
      <c r="T250" s="139" t="s">
        <v>102</v>
      </c>
      <c r="U250" s="12" t="s">
        <v>98</v>
      </c>
      <c r="V250" s="13" t="s">
        <v>100</v>
      </c>
      <c r="W250" s="13" t="s">
        <v>32</v>
      </c>
      <c r="X250" s="13" t="s">
        <v>69</v>
      </c>
      <c r="Y250" s="13"/>
      <c r="Z250" s="658">
        <f>X244*Y244*F244</f>
        <v>0</v>
      </c>
      <c r="AA250" s="659">
        <f>ROUNDUP(Z250,0)</f>
        <v>0</v>
      </c>
      <c r="AB250" s="13" t="s">
        <v>72</v>
      </c>
      <c r="AC250" s="13" t="s">
        <v>103</v>
      </c>
      <c r="AD250" s="13"/>
      <c r="AE250" s="65" t="s">
        <v>77</v>
      </c>
      <c r="AF250" s="137" t="s">
        <v>101</v>
      </c>
      <c r="AG250" s="139" t="s">
        <v>102</v>
      </c>
      <c r="AH250" s="12" t="s">
        <v>98</v>
      </c>
      <c r="AI250" s="13" t="s">
        <v>100</v>
      </c>
      <c r="AJ250" s="13" t="s">
        <v>33</v>
      </c>
      <c r="AK250" s="13" t="s">
        <v>69</v>
      </c>
      <c r="AL250" s="18"/>
      <c r="AM250" s="13" t="s">
        <v>159</v>
      </c>
      <c r="AN250" s="12"/>
      <c r="AO250" s="276" t="s">
        <v>95</v>
      </c>
      <c r="AP250" s="349"/>
      <c r="AQ250" s="276" t="s">
        <v>186</v>
      </c>
      <c r="AR250" s="285">
        <f>AR249*'Rate Tables'!P$8</f>
        <v>0</v>
      </c>
      <c r="AS250" s="15"/>
    </row>
    <row r="251" spans="1:45" ht="13.5" customHeight="1" x14ac:dyDescent="0.25">
      <c r="A251" s="145"/>
      <c r="B251" s="12"/>
      <c r="C251" s="115"/>
      <c r="D251" s="12"/>
      <c r="E251" s="211">
        <f>IF(H266&lt;=H267,H266,H267)</f>
        <v>0</v>
      </c>
      <c r="F251" s="19">
        <f>IF($D$4=2022,1,0)</f>
        <v>1</v>
      </c>
      <c r="G251" s="178">
        <f>IF($B266="Yes",$C$5,$I265)</f>
        <v>12</v>
      </c>
      <c r="H251" s="36">
        <f>H242</f>
        <v>3</v>
      </c>
      <c r="I251" s="138">
        <f>VLOOKUP(J242,'Lookup Tables'!$AB$22:$AC$31,2,FALSE)</f>
        <v>32</v>
      </c>
      <c r="J251" s="140">
        <f>VLOOKUP(U242,'Lookup Tables'!$AB$32:$AC$41,2,FALSE)</f>
        <v>33</v>
      </c>
      <c r="K251" s="123">
        <f>E251-J251</f>
        <v>-33</v>
      </c>
      <c r="L251" s="12">
        <f>IF(K251&gt;0,1,0)</f>
        <v>0</v>
      </c>
      <c r="M251" s="119">
        <f>M242</f>
        <v>0</v>
      </c>
      <c r="N251" s="15">
        <f>((((('Rate Tables'!B85*9)*0.02778)/5)*K251)*L251)*F251*M251*AO253</f>
        <v>0</v>
      </c>
      <c r="O251" s="28">
        <f>O242</f>
        <v>12</v>
      </c>
      <c r="P251" s="8">
        <f>IF(O251&lt;0,O251*0,1)*O251</f>
        <v>12</v>
      </c>
      <c r="Q251" s="123">
        <f>(E251-K251*F251*L251*M251)</f>
        <v>0</v>
      </c>
      <c r="R251" s="36">
        <f>S242</f>
        <v>3</v>
      </c>
      <c r="S251" s="138">
        <f>VLOOKUP(U242,'Lookup Tables'!$AB$22:$AC$31,2,FALSE)</f>
        <v>32</v>
      </c>
      <c r="T251" s="140">
        <f>VLOOKUP(AF242,'Lookup Tables'!$AB$32:$AC$41,2,FALSE)</f>
        <v>33</v>
      </c>
      <c r="U251" s="129">
        <f>Q251-T251</f>
        <v>-33</v>
      </c>
      <c r="V251" s="12">
        <f>IF(U251&gt;0,1,0)</f>
        <v>0</v>
      </c>
      <c r="W251" s="15">
        <f>((('Rate Tables'!C85*9)*0.02778)/5)*U251*F251*V251*AO253</f>
        <v>0</v>
      </c>
      <c r="X251" s="8">
        <f>AA242</f>
        <v>2</v>
      </c>
      <c r="Y251" s="12"/>
      <c r="Z251" s="119"/>
      <c r="AA251" s="18"/>
      <c r="AB251" s="8">
        <f>IF(X251&lt;0,X251*0,1)*X251</f>
        <v>2</v>
      </c>
      <c r="AC251" s="123">
        <f>Q251-(U251*V251)</f>
        <v>0</v>
      </c>
      <c r="AD251" s="12"/>
      <c r="AE251" s="36">
        <f>AE242</f>
        <v>1</v>
      </c>
      <c r="AF251" s="138">
        <f>VLOOKUP(AF242,'Lookup Tables'!$AB$22:$AC$31,2,FALSE)</f>
        <v>32</v>
      </c>
      <c r="AG251" s="140">
        <v>0</v>
      </c>
      <c r="AH251" s="125">
        <f>AC251-AG251</f>
        <v>0</v>
      </c>
      <c r="AI251" s="12">
        <f>IF(AH251&gt;0,1,0)</f>
        <v>0</v>
      </c>
      <c r="AJ251" s="15">
        <f>((('Rate Tables'!D85*9)*0.02778)/5)*AH251*AI251*F251*AO253</f>
        <v>0</v>
      </c>
      <c r="AK251" s="8">
        <f>AL242</f>
        <v>0</v>
      </c>
      <c r="AL251" s="18"/>
      <c r="AM251" s="19">
        <f>VLOOKUP(B238,'Lookup Tables'!$AK$22:$AM$24,2,0)</f>
        <v>0</v>
      </c>
      <c r="AN251" s="12"/>
      <c r="AO251" s="308">
        <f>VLOOKUP(AP249,'Lookup Tables'!$AF$22:$AG$24,2,FALSE)</f>
        <v>0</v>
      </c>
      <c r="AP251" s="349" t="s">
        <v>643</v>
      </c>
      <c r="AQ251" s="12"/>
      <c r="AR251" s="285"/>
      <c r="AS251" s="15"/>
    </row>
    <row r="252" spans="1:45" ht="13.5" customHeight="1" x14ac:dyDescent="0.25">
      <c r="A252" s="145"/>
      <c r="B252" s="12"/>
      <c r="C252" s="117" t="s">
        <v>597</v>
      </c>
      <c r="D252" s="12"/>
      <c r="E252" s="13" t="s">
        <v>84</v>
      </c>
      <c r="F252" s="13" t="s">
        <v>42</v>
      </c>
      <c r="G252" s="13" t="s">
        <v>41</v>
      </c>
      <c r="H252" s="65" t="s">
        <v>77</v>
      </c>
      <c r="I252" s="137" t="s">
        <v>105</v>
      </c>
      <c r="J252" s="139" t="s">
        <v>106</v>
      </c>
      <c r="K252" s="127" t="s">
        <v>99</v>
      </c>
      <c r="L252" s="13" t="s">
        <v>100</v>
      </c>
      <c r="M252" s="13" t="s">
        <v>82</v>
      </c>
      <c r="N252" s="13" t="s">
        <v>32</v>
      </c>
      <c r="O252" s="14" t="s">
        <v>69</v>
      </c>
      <c r="P252" s="13" t="s">
        <v>72</v>
      </c>
      <c r="Q252" s="13" t="s">
        <v>103</v>
      </c>
      <c r="R252" s="65" t="s">
        <v>77</v>
      </c>
      <c r="S252" s="137" t="s">
        <v>105</v>
      </c>
      <c r="T252" s="139" t="s">
        <v>106</v>
      </c>
      <c r="U252" s="12" t="s">
        <v>98</v>
      </c>
      <c r="V252" s="13" t="s">
        <v>100</v>
      </c>
      <c r="W252" s="13" t="s">
        <v>33</v>
      </c>
      <c r="X252" s="13" t="s">
        <v>69</v>
      </c>
      <c r="Y252" s="13"/>
      <c r="Z252" s="13"/>
      <c r="AA252" s="18"/>
      <c r="AB252" s="13" t="s">
        <v>72</v>
      </c>
      <c r="AC252" s="13" t="s">
        <v>104</v>
      </c>
      <c r="AD252" s="13"/>
      <c r="AE252" s="65" t="s">
        <v>77</v>
      </c>
      <c r="AF252" s="137" t="s">
        <v>105</v>
      </c>
      <c r="AG252" s="139" t="s">
        <v>106</v>
      </c>
      <c r="AH252" s="12" t="s">
        <v>98</v>
      </c>
      <c r="AI252" s="13" t="s">
        <v>100</v>
      </c>
      <c r="AJ252" s="13" t="s">
        <v>34</v>
      </c>
      <c r="AK252" s="13" t="s">
        <v>69</v>
      </c>
      <c r="AL252" s="18"/>
      <c r="AM252" s="13"/>
      <c r="AN252" s="12"/>
      <c r="AO252" s="227" t="s">
        <v>126</v>
      </c>
      <c r="AP252" s="350" t="s">
        <v>644</v>
      </c>
      <c r="AQ252" s="276" t="s">
        <v>187</v>
      </c>
      <c r="AR252" s="285">
        <f>(((O255+O256+AA255+AA256+AL255+AL256)*AM255)*AR253)*AP254</f>
        <v>0</v>
      </c>
      <c r="AS252" s="15"/>
    </row>
    <row r="253" spans="1:45" ht="13.5" customHeight="1" x14ac:dyDescent="0.25">
      <c r="A253" s="145"/>
      <c r="B253" s="12"/>
      <c r="C253" s="115"/>
      <c r="D253" s="12"/>
      <c r="E253" s="128">
        <f>E251</f>
        <v>0</v>
      </c>
      <c r="F253" s="19">
        <f>IF($D$4=2023,1,0)</f>
        <v>0</v>
      </c>
      <c r="G253" s="178">
        <f>IF($B266="Yes",$C$5,$I265)</f>
        <v>12</v>
      </c>
      <c r="H253" s="36">
        <f>H244</f>
        <v>3</v>
      </c>
      <c r="I253" s="138">
        <f>VLOOKUP(J244,'Lookup Tables'!$AB$22:$AC$31,2,FALSE)</f>
        <v>32</v>
      </c>
      <c r="J253" s="140">
        <f>VLOOKUP(U244,'Lookup Tables'!$AB$32:$AC$41,2,FALSE)</f>
        <v>33</v>
      </c>
      <c r="K253" s="123">
        <f>E253-J253</f>
        <v>-33</v>
      </c>
      <c r="L253" s="12">
        <f>IF(K253&gt;0,1,0)</f>
        <v>0</v>
      </c>
      <c r="M253" s="119">
        <f>M244</f>
        <v>0</v>
      </c>
      <c r="N253" s="15">
        <f>((((('Rate Tables'!C85*9)*0.02778)/5)*K253)*L253)*F253*M253*AO253</f>
        <v>0</v>
      </c>
      <c r="O253" s="28">
        <f>O244</f>
        <v>12</v>
      </c>
      <c r="P253" s="8">
        <f>IF(O253&lt;0,O253*0,1)*O253</f>
        <v>12</v>
      </c>
      <c r="Q253" s="123">
        <f>(E253-K253*F253*L253*M253)</f>
        <v>0</v>
      </c>
      <c r="R253" s="36">
        <f>S244</f>
        <v>3</v>
      </c>
      <c r="S253" s="138">
        <f>VLOOKUP(U244,'Lookup Tables'!$AB$22:$AC$31,2,FALSE)</f>
        <v>32</v>
      </c>
      <c r="T253" s="140">
        <f>VLOOKUP(AF244,'Lookup Tables'!$AB$32:$AC$41,2,FALSE)</f>
        <v>33</v>
      </c>
      <c r="U253" s="129">
        <f>Q253-T253</f>
        <v>-33</v>
      </c>
      <c r="V253" s="12">
        <f>IF(U253&gt;0,1,0)</f>
        <v>0</v>
      </c>
      <c r="W253" s="15">
        <f>((('Rate Tables'!D85*9)*0.02778)/5)*U253*F253*V253*AO253</f>
        <v>0</v>
      </c>
      <c r="X253" s="8">
        <f>AA244</f>
        <v>2</v>
      </c>
      <c r="Y253" s="12"/>
      <c r="Z253" s="119"/>
      <c r="AA253" s="18"/>
      <c r="AB253" s="8">
        <f>IF(X253&lt;0,X253*0,1)*X253</f>
        <v>2</v>
      </c>
      <c r="AC253" s="123">
        <f>Q253-(U253*V253)</f>
        <v>0</v>
      </c>
      <c r="AD253" s="12"/>
      <c r="AE253" s="36">
        <f>AE244</f>
        <v>1</v>
      </c>
      <c r="AF253" s="138">
        <f>VLOOKUP(AF244,'Lookup Tables'!$AB$22:$AC$31,2,FALSE)</f>
        <v>32</v>
      </c>
      <c r="AG253" s="140">
        <v>0</v>
      </c>
      <c r="AH253" s="125">
        <f>AC253-AG253</f>
        <v>0</v>
      </c>
      <c r="AI253" s="12">
        <f>IF(AH253&gt;0,1,0)</f>
        <v>0</v>
      </c>
      <c r="AJ253" s="15">
        <f>((('Rate Tables'!E85*9)*0.02778)/5)*AH253*AI253*F253*AO253</f>
        <v>0</v>
      </c>
      <c r="AK253" s="8">
        <f>AL244</f>
        <v>0</v>
      </c>
      <c r="AL253" s="18"/>
      <c r="AM253" s="19"/>
      <c r="AN253" s="12"/>
      <c r="AO253" s="319">
        <f>VLOOKUP(AP249,'Lookup Tables'!$AF$26:$AG$28,2,0)</f>
        <v>0</v>
      </c>
      <c r="AP253" s="358" t="str">
        <f>IF(AP249="50% Sum","no",Personnel!G94)</f>
        <v>No</v>
      </c>
      <c r="AQ253" s="227" t="s">
        <v>582</v>
      </c>
      <c r="AR253" s="663">
        <f>IF(AR249&gt;0,1,0)</f>
        <v>0</v>
      </c>
      <c r="AS253" s="15"/>
    </row>
    <row r="254" spans="1:45" ht="13.5" customHeight="1" x14ac:dyDescent="0.25">
      <c r="A254" s="145"/>
      <c r="B254" s="12"/>
      <c r="C254" s="114"/>
      <c r="D254" s="12"/>
      <c r="E254" s="12"/>
      <c r="F254" s="12"/>
      <c r="G254" s="12"/>
      <c r="H254" s="12"/>
      <c r="I254" s="12" t="s">
        <v>641</v>
      </c>
      <c r="J254" s="12" t="s">
        <v>642</v>
      </c>
      <c r="K254" s="12" t="s">
        <v>164</v>
      </c>
      <c r="L254" s="13" t="s">
        <v>165</v>
      </c>
      <c r="M254" s="608" t="s">
        <v>128</v>
      </c>
      <c r="N254" s="147" t="s">
        <v>129</v>
      </c>
      <c r="O254" s="135" t="s">
        <v>130</v>
      </c>
      <c r="P254" s="12"/>
      <c r="Q254" s="12"/>
      <c r="R254" s="12"/>
      <c r="S254" s="12"/>
      <c r="T254" s="12"/>
      <c r="U254" s="12"/>
      <c r="V254" s="12" t="s">
        <v>166</v>
      </c>
      <c r="W254" s="12" t="s">
        <v>163</v>
      </c>
      <c r="X254" s="13" t="s">
        <v>165</v>
      </c>
      <c r="Y254" s="650" t="s">
        <v>128</v>
      </c>
      <c r="Z254" s="13" t="s">
        <v>129</v>
      </c>
      <c r="AA254" s="135" t="s">
        <v>130</v>
      </c>
      <c r="AB254" s="12"/>
      <c r="AC254" s="12"/>
      <c r="AD254" s="12"/>
      <c r="AE254" s="12"/>
      <c r="AF254" s="12"/>
      <c r="AG254" s="12" t="s">
        <v>166</v>
      </c>
      <c r="AH254" s="12" t="s">
        <v>163</v>
      </c>
      <c r="AI254" s="13" t="s">
        <v>165</v>
      </c>
      <c r="AJ254" s="650" t="s">
        <v>128</v>
      </c>
      <c r="AK254" s="13" t="s">
        <v>129</v>
      </c>
      <c r="AL254" s="135" t="s">
        <v>130</v>
      </c>
      <c r="AM254" s="13" t="s">
        <v>159</v>
      </c>
      <c r="AN254" s="12"/>
      <c r="AO254" s="227"/>
      <c r="AP254" s="349">
        <f>IF(AP253="yes",0.5,1)</f>
        <v>1</v>
      </c>
      <c r="AQ254" s="12"/>
      <c r="AR254" s="285"/>
      <c r="AS254" s="15"/>
    </row>
    <row r="255" spans="1:45" ht="13.5" customHeight="1" x14ac:dyDescent="0.25">
      <c r="A255" s="145"/>
      <c r="B255" s="12"/>
      <c r="C255" s="114"/>
      <c r="D255" s="12"/>
      <c r="E255" s="12"/>
      <c r="F255" s="12"/>
      <c r="G255" s="12"/>
      <c r="H255" s="12"/>
      <c r="I255" s="12">
        <f>G242</f>
        <v>12</v>
      </c>
      <c r="J255" s="125">
        <f>AO247</f>
        <v>9</v>
      </c>
      <c r="K255" s="125">
        <f>I255-J255</f>
        <v>3</v>
      </c>
      <c r="L255" s="123">
        <f>V255</f>
        <v>0</v>
      </c>
      <c r="M255" s="609">
        <f>IF(M257&lt;=0,0,ROUNDUP(M257,0))</f>
        <v>3</v>
      </c>
      <c r="N255" s="161">
        <f>'Rate Tables'!$P$17</f>
        <v>910</v>
      </c>
      <c r="O255" s="136">
        <f>(M255*N255)*F251*M251</f>
        <v>0</v>
      </c>
      <c r="P255" s="12"/>
      <c r="Q255" s="12"/>
      <c r="R255" s="12"/>
      <c r="S255" s="12"/>
      <c r="T255" s="12"/>
      <c r="U255" s="12"/>
      <c r="V255" s="12">
        <f>VLOOKUP((U251*V251),'Lookup Tables'!$E$38:$F$103,2,0)</f>
        <v>0</v>
      </c>
      <c r="W255" s="12">
        <f>K255-(M255*M251)</f>
        <v>3</v>
      </c>
      <c r="X255" s="119">
        <f>AG255</f>
        <v>0</v>
      </c>
      <c r="Y255" s="609">
        <f>IF(Y257&lt;=0,0,ROUNDUP(Y257,0))</f>
        <v>3</v>
      </c>
      <c r="Z255" s="129">
        <f>'Rate Tables'!$P$18</f>
        <v>910</v>
      </c>
      <c r="AA255" s="136">
        <f>Y255*Z255*F251*V251</f>
        <v>0</v>
      </c>
      <c r="AB255" s="12"/>
      <c r="AC255" s="12"/>
      <c r="AD255" s="12"/>
      <c r="AE255" s="12"/>
      <c r="AF255" s="12"/>
      <c r="AG255" s="12">
        <f>VLOOKUP(AH251,'Lookup Tables'!$E$38:$F$103,2,0)</f>
        <v>0</v>
      </c>
      <c r="AH255" s="125">
        <f>W255-(Y255*V251)</f>
        <v>3</v>
      </c>
      <c r="AI255" s="119">
        <v>0</v>
      </c>
      <c r="AJ255" s="609">
        <f>IF(AJ257&lt;=0,0,ROUNDUP(AJ257,0))</f>
        <v>3</v>
      </c>
      <c r="AK255" s="129">
        <f>'Rate Tables'!$P$19</f>
        <v>910</v>
      </c>
      <c r="AL255" s="136">
        <f>AJ255*AK255*F251*AI251</f>
        <v>0</v>
      </c>
      <c r="AM255" s="19">
        <f>VLOOKUP(B238,'Lookup Tables'!$AK$22:$AM$24,2,0)</f>
        <v>0</v>
      </c>
      <c r="AN255" s="12"/>
      <c r="AO255" s="307"/>
      <c r="AP255" s="358"/>
      <c r="AQ255" s="12"/>
      <c r="AR255" s="285"/>
      <c r="AS255" s="15"/>
    </row>
    <row r="256" spans="1:45" ht="13.5" customHeight="1" x14ac:dyDescent="0.25">
      <c r="A256" s="145"/>
      <c r="B256" s="12"/>
      <c r="C256" s="114"/>
      <c r="D256" s="12"/>
      <c r="E256" s="12"/>
      <c r="F256" s="12"/>
      <c r="G256" s="12"/>
      <c r="H256" s="12"/>
      <c r="I256" s="12">
        <f>G244</f>
        <v>12</v>
      </c>
      <c r="J256" s="125">
        <f>J255</f>
        <v>9</v>
      </c>
      <c r="K256" s="125">
        <f>I256-J256</f>
        <v>3</v>
      </c>
      <c r="L256" s="123">
        <f>V256</f>
        <v>0</v>
      </c>
      <c r="M256" s="609">
        <f>IF(M258&lt;=0,0,ROUNDUP(M258,0))</f>
        <v>3</v>
      </c>
      <c r="N256" s="161">
        <f>'Rate Tables'!$P$18</f>
        <v>910</v>
      </c>
      <c r="O256" s="136">
        <f>(M256*N256)*F253*M253</f>
        <v>0</v>
      </c>
      <c r="P256" s="12"/>
      <c r="Q256" s="12"/>
      <c r="R256" s="12"/>
      <c r="S256" s="12"/>
      <c r="T256" s="12"/>
      <c r="U256" s="12"/>
      <c r="V256" s="12">
        <f>VLOOKUP((U253*V253),'Lookup Tables'!$E$38:$F$103,2,0)</f>
        <v>0</v>
      </c>
      <c r="W256" s="12">
        <f>K256-(M256*M253)</f>
        <v>3</v>
      </c>
      <c r="X256" s="119">
        <f>AG256</f>
        <v>0</v>
      </c>
      <c r="Y256" s="609">
        <f>IF(Y258&lt;=0,0,ROUNDUP(Y258,0))</f>
        <v>3</v>
      </c>
      <c r="Z256" s="129">
        <f>'Rate Tables'!$P$19</f>
        <v>910</v>
      </c>
      <c r="AA256" s="136">
        <f>Y256*Z256*F253*V253</f>
        <v>0</v>
      </c>
      <c r="AB256" s="12"/>
      <c r="AC256" s="12"/>
      <c r="AD256" s="12"/>
      <c r="AE256" s="12"/>
      <c r="AF256" s="12"/>
      <c r="AG256" s="12">
        <f>VLOOKUP(AH253,'Lookup Tables'!$E$38:$F$103,2,0)</f>
        <v>0</v>
      </c>
      <c r="AH256" s="125">
        <f>W256-(Y256*V253)</f>
        <v>3</v>
      </c>
      <c r="AI256" s="119">
        <v>0</v>
      </c>
      <c r="AJ256" s="609">
        <f>IF(AJ258&lt;=0,0,ROUNDUP(AJ258,0))</f>
        <v>3</v>
      </c>
      <c r="AK256" s="129">
        <f>'Rate Tables'!$P$20</f>
        <v>928.2</v>
      </c>
      <c r="AL256" s="136">
        <f>AJ256*AK256*F253*AI253</f>
        <v>0</v>
      </c>
      <c r="AM256" s="19"/>
      <c r="AN256" s="12"/>
      <c r="AO256" s="307"/>
      <c r="AP256" s="349"/>
      <c r="AQ256" s="12"/>
      <c r="AR256" s="285"/>
      <c r="AS256" s="15"/>
    </row>
    <row r="257" spans="1:45" ht="13.5" customHeight="1" x14ac:dyDescent="0.25">
      <c r="A257" s="145"/>
      <c r="B257" s="12"/>
      <c r="C257" s="114"/>
      <c r="D257" s="12"/>
      <c r="E257" s="12"/>
      <c r="F257" s="12"/>
      <c r="G257" s="12" t="s">
        <v>584</v>
      </c>
      <c r="H257" s="12"/>
      <c r="I257" s="12"/>
      <c r="J257" s="12"/>
      <c r="K257" s="12"/>
      <c r="L257" s="123"/>
      <c r="M257" s="648">
        <f>K255-L255</f>
        <v>3</v>
      </c>
      <c r="N257" s="161"/>
      <c r="O257" s="125"/>
      <c r="P257" s="12"/>
      <c r="Q257" s="12"/>
      <c r="R257" s="12"/>
      <c r="S257" s="12"/>
      <c r="T257" s="12"/>
      <c r="U257" s="12"/>
      <c r="V257" s="12"/>
      <c r="W257" s="12"/>
      <c r="X257" s="119"/>
      <c r="Y257" s="651">
        <f>W255-X255</f>
        <v>3</v>
      </c>
      <c r="Z257" s="129"/>
      <c r="AA257" s="125"/>
      <c r="AB257" s="12"/>
      <c r="AC257" s="12"/>
      <c r="AD257" s="12"/>
      <c r="AE257" s="12"/>
      <c r="AF257" s="12"/>
      <c r="AG257" s="12"/>
      <c r="AH257" s="125"/>
      <c r="AI257" s="119"/>
      <c r="AJ257" s="651">
        <f>AH255-AI255</f>
        <v>3</v>
      </c>
      <c r="AK257" s="129"/>
      <c r="AL257" s="125"/>
      <c r="AM257" s="19"/>
      <c r="AN257" s="12"/>
      <c r="AO257" s="307"/>
      <c r="AP257" s="349"/>
      <c r="AQ257" s="12"/>
      <c r="AR257" s="285"/>
      <c r="AS257" s="15"/>
    </row>
    <row r="258" spans="1:45" ht="13.5" customHeight="1" x14ac:dyDescent="0.25">
      <c r="A258" s="145"/>
      <c r="B258" s="162"/>
      <c r="C258" s="115">
        <f>(B240*12)*2</f>
        <v>0</v>
      </c>
      <c r="D258" s="115"/>
      <c r="E258" s="126"/>
      <c r="F258" s="126"/>
      <c r="G258" s="12"/>
      <c r="H258" s="12"/>
      <c r="I258" s="12"/>
      <c r="J258" s="12"/>
      <c r="K258" s="12"/>
      <c r="L258" s="12"/>
      <c r="M258" s="649">
        <f>K256-L256</f>
        <v>3</v>
      </c>
      <c r="N258" s="12"/>
      <c r="O258" s="12"/>
      <c r="P258" s="12"/>
      <c r="Q258" s="12"/>
      <c r="R258" s="12"/>
      <c r="S258" s="12"/>
      <c r="T258" s="12"/>
      <c r="U258" s="12"/>
      <c r="V258" s="12"/>
      <c r="W258" s="12"/>
      <c r="X258" s="12"/>
      <c r="Y258" s="652">
        <f>W256-X256</f>
        <v>3</v>
      </c>
      <c r="Z258" s="12"/>
      <c r="AA258" s="12"/>
      <c r="AB258" s="12"/>
      <c r="AC258" s="12"/>
      <c r="AD258" s="12"/>
      <c r="AE258" s="12"/>
      <c r="AF258" s="12"/>
      <c r="AG258" s="12"/>
      <c r="AH258" s="12"/>
      <c r="AI258" s="12"/>
      <c r="AJ258" s="652">
        <f>AH256-AI256</f>
        <v>3</v>
      </c>
      <c r="AK258" s="12"/>
      <c r="AL258" s="12"/>
      <c r="AM258" s="12"/>
      <c r="AN258" s="12"/>
      <c r="AO258" s="306" t="s">
        <v>413</v>
      </c>
      <c r="AP258" s="348">
        <f>Personnel!G90</f>
        <v>0</v>
      </c>
      <c r="AQ258" s="276" t="s">
        <v>416</v>
      </c>
      <c r="AR258" s="285">
        <f>(M260+M262+W260+W262+AI260+AI262)*AM260</f>
        <v>0</v>
      </c>
      <c r="AS258" s="15"/>
    </row>
    <row r="259" spans="1:45" ht="13.5" customHeight="1" x14ac:dyDescent="0.25">
      <c r="A259" s="145"/>
      <c r="B259" s="12"/>
      <c r="C259" s="117" t="s">
        <v>30</v>
      </c>
      <c r="D259" s="117"/>
      <c r="E259" s="13">
        <v>0</v>
      </c>
      <c r="F259" s="13" t="s">
        <v>42</v>
      </c>
      <c r="G259" s="13" t="s">
        <v>41</v>
      </c>
      <c r="H259" s="65" t="s">
        <v>77</v>
      </c>
      <c r="I259" s="150" t="s">
        <v>50</v>
      </c>
      <c r="J259" s="13" t="s">
        <v>52</v>
      </c>
      <c r="K259" s="13" t="s">
        <v>35</v>
      </c>
      <c r="L259" s="13" t="s">
        <v>82</v>
      </c>
      <c r="M259" s="13" t="s">
        <v>31</v>
      </c>
      <c r="N259" s="13" t="s">
        <v>69</v>
      </c>
      <c r="O259" s="12"/>
      <c r="P259" s="13" t="s">
        <v>72</v>
      </c>
      <c r="Q259" s="65" t="s">
        <v>80</v>
      </c>
      <c r="R259" s="62" t="s">
        <v>81</v>
      </c>
      <c r="S259" s="65" t="s">
        <v>77</v>
      </c>
      <c r="T259" s="674" t="s">
        <v>107</v>
      </c>
      <c r="U259" s="13" t="s">
        <v>53</v>
      </c>
      <c r="V259" s="13" t="s">
        <v>82</v>
      </c>
      <c r="W259" s="13" t="s">
        <v>32</v>
      </c>
      <c r="X259" s="13" t="s">
        <v>69</v>
      </c>
      <c r="Y259" s="12"/>
      <c r="Z259" s="12"/>
      <c r="AA259" s="12"/>
      <c r="AB259" s="13" t="s">
        <v>72</v>
      </c>
      <c r="AC259" s="13" t="s">
        <v>80</v>
      </c>
      <c r="AD259" s="62" t="s">
        <v>81</v>
      </c>
      <c r="AE259" s="65" t="s">
        <v>77</v>
      </c>
      <c r="AF259" s="151" t="s">
        <v>107</v>
      </c>
      <c r="AG259" s="13" t="s">
        <v>78</v>
      </c>
      <c r="AH259" s="13" t="s">
        <v>82</v>
      </c>
      <c r="AI259" s="13" t="s">
        <v>33</v>
      </c>
      <c r="AJ259" s="13" t="s">
        <v>69</v>
      </c>
      <c r="AK259" s="12"/>
      <c r="AL259" s="12"/>
      <c r="AM259" s="13" t="s">
        <v>159</v>
      </c>
      <c r="AN259" s="12"/>
      <c r="AO259" s="227"/>
      <c r="AP259" s="12"/>
      <c r="AQ259" s="12"/>
      <c r="AR259" s="285"/>
      <c r="AS259" s="15"/>
    </row>
    <row r="260" spans="1:45" ht="13.5" customHeight="1" x14ac:dyDescent="0.25">
      <c r="A260" s="145"/>
      <c r="B260" s="12"/>
      <c r="C260" s="115"/>
      <c r="D260" s="115"/>
      <c r="E260" s="152">
        <f>AP258</f>
        <v>0</v>
      </c>
      <c r="F260" s="19">
        <f>IF($D$4=2022,1,0)</f>
        <v>1</v>
      </c>
      <c r="G260" s="178">
        <f>IF($B266="Yes",$C$5,$I265)</f>
        <v>12</v>
      </c>
      <c r="H260" s="36">
        <f>VLOOKUP(H264,'Lookup Tables'!$A$22:$B$33,2,FALSE)</f>
        <v>3</v>
      </c>
      <c r="I260" s="192">
        <f>VLOOKUP($E$4,'Lookup Tables'!$AB$46:$AN$58,MATCH($H260,'Lookup Tables'!$AB$46:$AN$46),FALSE)</f>
        <v>12</v>
      </c>
      <c r="J260" s="19">
        <f>12-I260</f>
        <v>0</v>
      </c>
      <c r="K260" s="19">
        <f>IF(G260&lt;J260,G260,J260)</f>
        <v>0</v>
      </c>
      <c r="L260" s="195">
        <f>IF(12-I260&gt;=1,1,0)</f>
        <v>0</v>
      </c>
      <c r="M260" s="20">
        <f>((('Rate Tables'!$B109*$E260)*PersonCalcYr1!$K260)*L260)*$F260</f>
        <v>0</v>
      </c>
      <c r="N260" s="8">
        <f>G260-(J260*L260)</f>
        <v>12</v>
      </c>
      <c r="O260" s="12"/>
      <c r="P260" s="8">
        <f>IF(N260&lt;0,N260*0,1)*N260</f>
        <v>12</v>
      </c>
      <c r="Q260" s="120">
        <f>VLOOKUP($H264,'Lookup Tables'!$A$22:$B$33,2,FALSE)+(K260*L260)</f>
        <v>3</v>
      </c>
      <c r="R260" s="121" t="str">
        <f>VLOOKUP(Q260,'Lookup Tables'!$A$38:$B$151,2,FALSE)</f>
        <v>Sept</v>
      </c>
      <c r="S260" s="36">
        <f>VLOOKUP(R260,'Lookup Tables'!$A$22:$B$33,2,FALSE)</f>
        <v>3</v>
      </c>
      <c r="T260" s="672">
        <f>VLOOKUP($E$4,'Lookup Tables'!$AQ$46:$BC$58,MATCH(PersonCalcYr1!$S260,'Lookup Tables'!$AQ$46:$BC$46),FALSE)</f>
        <v>10</v>
      </c>
      <c r="U260" s="19">
        <f>IF(P260&lt;T260,P260,T260)</f>
        <v>10</v>
      </c>
      <c r="V260" s="119">
        <f>IF((U260)&lt;=0,0,1)</f>
        <v>1</v>
      </c>
      <c r="W260" s="20">
        <f>(('Rate Tables'!$C109*$E260)*PersonCalcYr1!$U260)*$V260*$F260</f>
        <v>0</v>
      </c>
      <c r="X260" s="8">
        <f>P260-(U260*V260)</f>
        <v>2</v>
      </c>
      <c r="Y260" s="12"/>
      <c r="Z260" s="12"/>
      <c r="AA260" s="12"/>
      <c r="AB260" s="19">
        <f>X260</f>
        <v>2</v>
      </c>
      <c r="AC260" s="123">
        <f>AC242</f>
        <v>13</v>
      </c>
      <c r="AD260" s="121" t="str">
        <f>VLOOKUP(AC260,'Lookup Tables'!$A$38:$B$151,2,FALSE)</f>
        <v>July</v>
      </c>
      <c r="AE260" s="36">
        <f>VLOOKUP(AD260,'Lookup Tables'!$A$22:$B$33,2,FALSE)</f>
        <v>1</v>
      </c>
      <c r="AF260" s="87">
        <f>VLOOKUP($AE260,'Lookup Tables'!$AC$3:$AW$16,MATCH(PersonCalcYr1!$AB260,'Lookup Tables'!$AC$3:$AW$3),FALSE)</f>
        <v>2</v>
      </c>
      <c r="AG260" s="19">
        <f>IF(AB260&lt;AF260,AB260,AF260)</f>
        <v>2</v>
      </c>
      <c r="AH260" s="119">
        <f>IF((AG260)&lt;=0,0,1)</f>
        <v>1</v>
      </c>
      <c r="AI260" s="20">
        <f>(('Rate Tables'!$D109*$E260)*PersonCalcYr1!AG260)*AH260*$F260</f>
        <v>0</v>
      </c>
      <c r="AJ260" s="8">
        <f>AB260-(AG260*AH260)</f>
        <v>0</v>
      </c>
      <c r="AK260" s="12"/>
      <c r="AL260" s="12"/>
      <c r="AM260" s="19">
        <f>VLOOKUP(B238,'Lookup Tables'!$AK$22:$AM$24,3,0)</f>
        <v>1</v>
      </c>
      <c r="AN260" s="12"/>
      <c r="AO260" s="227"/>
      <c r="AP260" s="12"/>
      <c r="AQ260" s="276" t="s">
        <v>188</v>
      </c>
      <c r="AR260" s="285">
        <f>AR258*'Rate Tables'!P$8</f>
        <v>0</v>
      </c>
      <c r="AS260" s="15"/>
    </row>
    <row r="261" spans="1:45" ht="13.5" customHeight="1" x14ac:dyDescent="0.25">
      <c r="A261" s="145"/>
      <c r="B261" s="12"/>
      <c r="C261" s="117" t="s">
        <v>597</v>
      </c>
      <c r="D261" s="117"/>
      <c r="E261" s="13">
        <v>0</v>
      </c>
      <c r="F261" s="13" t="s">
        <v>42</v>
      </c>
      <c r="G261" s="13" t="s">
        <v>41</v>
      </c>
      <c r="H261" s="65" t="s">
        <v>77</v>
      </c>
      <c r="I261" s="150" t="s">
        <v>51</v>
      </c>
      <c r="J261" s="13" t="s">
        <v>110</v>
      </c>
      <c r="K261" s="13" t="s">
        <v>53</v>
      </c>
      <c r="L261" s="13" t="s">
        <v>82</v>
      </c>
      <c r="M261" s="13" t="s">
        <v>32</v>
      </c>
      <c r="N261" s="13" t="s">
        <v>69</v>
      </c>
      <c r="O261" s="12"/>
      <c r="P261" s="13" t="s">
        <v>72</v>
      </c>
      <c r="Q261" s="65" t="s">
        <v>80</v>
      </c>
      <c r="R261" s="62" t="s">
        <v>81</v>
      </c>
      <c r="S261" s="65" t="s">
        <v>77</v>
      </c>
      <c r="T261" s="674" t="s">
        <v>107</v>
      </c>
      <c r="U261" s="13" t="s">
        <v>78</v>
      </c>
      <c r="V261" s="13" t="s">
        <v>82</v>
      </c>
      <c r="W261" s="13" t="s">
        <v>33</v>
      </c>
      <c r="X261" s="13" t="s">
        <v>69</v>
      </c>
      <c r="Y261" s="12"/>
      <c r="Z261" s="12"/>
      <c r="AA261" s="12"/>
      <c r="AB261" s="13" t="s">
        <v>72</v>
      </c>
      <c r="AC261" s="13" t="s">
        <v>80</v>
      </c>
      <c r="AD261" s="62" t="s">
        <v>81</v>
      </c>
      <c r="AE261" s="65" t="s">
        <v>77</v>
      </c>
      <c r="AF261" s="151" t="s">
        <v>107</v>
      </c>
      <c r="AG261" s="13" t="s">
        <v>79</v>
      </c>
      <c r="AH261" s="13" t="s">
        <v>82</v>
      </c>
      <c r="AI261" s="13" t="s">
        <v>34</v>
      </c>
      <c r="AJ261" s="13" t="s">
        <v>69</v>
      </c>
      <c r="AK261" s="12"/>
      <c r="AL261" s="12"/>
      <c r="AM261" s="13"/>
      <c r="AN261" s="12"/>
      <c r="AO261" s="311"/>
      <c r="AP261" s="349" t="s">
        <v>643</v>
      </c>
      <c r="AQ261" s="12"/>
      <c r="AR261" s="285"/>
      <c r="AS261" s="15"/>
    </row>
    <row r="262" spans="1:45" ht="13.5" customHeight="1" x14ac:dyDescent="0.25">
      <c r="A262" s="145"/>
      <c r="B262" s="12"/>
      <c r="C262" s="115"/>
      <c r="D262" s="115"/>
      <c r="E262" s="152">
        <f>AP258</f>
        <v>0</v>
      </c>
      <c r="F262" s="19">
        <f>IF($D$4=2023,1,0)</f>
        <v>0</v>
      </c>
      <c r="G262" s="178">
        <f>IF($B266="Yes",$C$5,$I265)</f>
        <v>12</v>
      </c>
      <c r="H262" s="36">
        <f>VLOOKUP(H264,'Lookup Tables'!$A$22:$B$33,2,FALSE)</f>
        <v>3</v>
      </c>
      <c r="I262" s="192">
        <f>VLOOKUP($E$4,'Lookup Tables'!$AB$46:$AN$58,MATCH($H262,'Lookup Tables'!$AB$46:$AN$46),FALSE)</f>
        <v>12</v>
      </c>
      <c r="J262" s="19">
        <f>12-I262</f>
        <v>0</v>
      </c>
      <c r="K262" s="19">
        <f>IF(G262&lt;J262,G262,J262)</f>
        <v>0</v>
      </c>
      <c r="L262" s="195">
        <f>IF(12-I262&gt;=1,1,0)</f>
        <v>0</v>
      </c>
      <c r="M262" s="20">
        <f>((('Rate Tables'!$C109*$E262)*PersonCalcYr1!$K262)*L262)*$F262</f>
        <v>0</v>
      </c>
      <c r="N262" s="8">
        <f>G262-(J262*L262)</f>
        <v>12</v>
      </c>
      <c r="O262" s="12"/>
      <c r="P262" s="8">
        <f>IF(N262&lt;0,N262*0,1)*N262</f>
        <v>12</v>
      </c>
      <c r="Q262" s="120">
        <f>VLOOKUP($H264,'Lookup Tables'!$A$22:$B$33,2,FALSE)+(K262*L262)</f>
        <v>3</v>
      </c>
      <c r="R262" s="121" t="str">
        <f>VLOOKUP(Q262,'Lookup Tables'!$A$38:$B$151,2,FALSE)</f>
        <v>Sept</v>
      </c>
      <c r="S262" s="36">
        <f>VLOOKUP(R262,'Lookup Tables'!$A$22:$B$33,2,FALSE)</f>
        <v>3</v>
      </c>
      <c r="T262" s="672">
        <f>VLOOKUP($E$4,'Lookup Tables'!$AQ$46:$BC$58,MATCH(PersonCalcYr1!$S262,'Lookup Tables'!$AQ$46:$BC$46),FALSE)</f>
        <v>10</v>
      </c>
      <c r="U262" s="19">
        <f>IF(P262&lt;T262,P262,T262)</f>
        <v>10</v>
      </c>
      <c r="V262" s="119">
        <f>IF((U262)&lt;=0,0,1)</f>
        <v>1</v>
      </c>
      <c r="W262" s="20">
        <f>(('Rate Tables'!$D109*$E262)*PersonCalcYr1!$U262)*$V262*$F262</f>
        <v>0</v>
      </c>
      <c r="X262" s="8">
        <f>P262-(U262*V262)</f>
        <v>2</v>
      </c>
      <c r="Y262" s="12"/>
      <c r="Z262" s="12"/>
      <c r="AA262" s="12"/>
      <c r="AB262" s="19">
        <f>X262</f>
        <v>2</v>
      </c>
      <c r="AC262" s="123">
        <f>AC244</f>
        <v>13</v>
      </c>
      <c r="AD262" s="121" t="str">
        <f>VLOOKUP(AC262,'Lookup Tables'!$A$38:$B$151,2,FALSE)</f>
        <v>July</v>
      </c>
      <c r="AE262" s="36">
        <f>VLOOKUP(AD262,'Lookup Tables'!$A$22:$B$33,2,FALSE)</f>
        <v>1</v>
      </c>
      <c r="AF262" s="87">
        <f>VLOOKUP($AE262,'Lookup Tables'!$AC$3:$AW$16,MATCH(PersonCalcYr1!$AB262,'Lookup Tables'!$AC$3:$AW$3),FALSE)</f>
        <v>2</v>
      </c>
      <c r="AG262" s="19">
        <f>IF(AB262&lt;AF262,AB262,AF262)</f>
        <v>2</v>
      </c>
      <c r="AH262" s="119">
        <f>IF((AG262)&lt;=0,0,1)</f>
        <v>1</v>
      </c>
      <c r="AI262" s="20">
        <f>(('Rate Tables'!$E109*$E262)*PersonCalcYr1!AG262)*AH262*$F262</f>
        <v>0</v>
      </c>
      <c r="AJ262" s="8">
        <f>AB262-(AG262*AH262)</f>
        <v>0</v>
      </c>
      <c r="AK262" s="12"/>
      <c r="AL262" s="12"/>
      <c r="AM262" s="20"/>
      <c r="AN262" s="12"/>
      <c r="AO262" s="311"/>
      <c r="AP262" s="350" t="s">
        <v>644</v>
      </c>
      <c r="AQ262" s="276" t="s">
        <v>136</v>
      </c>
      <c r="AR262" s="285">
        <f>(((O264+O265+AA264+AA265+AL264+AL265)*AM264)*AR263)*AP264</f>
        <v>0</v>
      </c>
      <c r="AS262" s="12" t="s">
        <v>418</v>
      </c>
    </row>
    <row r="263" spans="1:45" ht="13.5" customHeight="1" x14ac:dyDescent="0.25">
      <c r="A263" s="145"/>
      <c r="B263" s="12" t="s">
        <v>127</v>
      </c>
      <c r="C263" s="12"/>
      <c r="D263" s="12"/>
      <c r="E263" s="12"/>
      <c r="F263" s="12"/>
      <c r="G263" s="12"/>
      <c r="H263" s="12"/>
      <c r="I263" s="12"/>
      <c r="J263" s="12"/>
      <c r="K263" s="12"/>
      <c r="L263" s="13"/>
      <c r="M263" s="13" t="s">
        <v>129</v>
      </c>
      <c r="N263" s="13" t="s">
        <v>128</v>
      </c>
      <c r="O263" s="153" t="s">
        <v>130</v>
      </c>
      <c r="P263" s="12"/>
      <c r="Q263" s="12"/>
      <c r="R263" s="12"/>
      <c r="S263" s="12"/>
      <c r="T263" s="12"/>
      <c r="U263" s="12"/>
      <c r="V263" s="12"/>
      <c r="W263" s="12"/>
      <c r="X263" s="12"/>
      <c r="Y263" s="13" t="s">
        <v>129</v>
      </c>
      <c r="Z263" s="13" t="s">
        <v>128</v>
      </c>
      <c r="AA263" s="153" t="s">
        <v>130</v>
      </c>
      <c r="AB263" s="12"/>
      <c r="AC263" s="12"/>
      <c r="AD263" s="12"/>
      <c r="AE263" s="12"/>
      <c r="AF263" s="12"/>
      <c r="AG263" s="12"/>
      <c r="AH263" s="12"/>
      <c r="AI263" s="12"/>
      <c r="AJ263" s="13" t="s">
        <v>129</v>
      </c>
      <c r="AK263" s="13" t="s">
        <v>128</v>
      </c>
      <c r="AL263" s="153" t="s">
        <v>130</v>
      </c>
      <c r="AM263" s="13" t="s">
        <v>159</v>
      </c>
      <c r="AN263" s="12"/>
      <c r="AO263" s="227"/>
      <c r="AP263" s="358" t="str">
        <f>IF(AP258="50% Sum","no",Personnel!G94)</f>
        <v>No</v>
      </c>
      <c r="AQ263" s="227" t="s">
        <v>582</v>
      </c>
      <c r="AR263" s="663">
        <f>IF(AR258&gt;0,1,0)</f>
        <v>0</v>
      </c>
      <c r="AS263" s="372">
        <f>VLOOKUP('F&amp;ARatesCalc'!$B$1,'F&amp;ARatesCalc'!$A$3:$B$5,2,FALSE)</f>
        <v>0.56999999999999995</v>
      </c>
    </row>
    <row r="264" spans="1:45" ht="13.5" customHeight="1" x14ac:dyDescent="0.25">
      <c r="A264" s="145"/>
      <c r="B264" s="12"/>
      <c r="C264" s="12"/>
      <c r="D264" s="12"/>
      <c r="E264" s="12"/>
      <c r="F264" s="12"/>
      <c r="G264" s="178" t="s">
        <v>430</v>
      </c>
      <c r="H264" s="178" t="str">
        <f>IF(B266="yes",$C$4,A268)</f>
        <v>Sept</v>
      </c>
      <c r="I264" s="12"/>
      <c r="J264" s="12"/>
      <c r="K264" s="12"/>
      <c r="L264" s="12"/>
      <c r="M264" s="129">
        <f>'Rate Tables'!$P$17</f>
        <v>910</v>
      </c>
      <c r="N264" s="146">
        <f>(K260*L260)*F260</f>
        <v>0</v>
      </c>
      <c r="O264" s="154">
        <f>M264*N264</f>
        <v>0</v>
      </c>
      <c r="P264" s="12"/>
      <c r="Q264" s="12"/>
      <c r="R264" s="12"/>
      <c r="S264" s="12"/>
      <c r="T264" s="12"/>
      <c r="U264" s="12"/>
      <c r="V264" s="12"/>
      <c r="W264" s="12"/>
      <c r="X264" s="12"/>
      <c r="Y264" s="129">
        <f>'Rate Tables'!$P$18</f>
        <v>910</v>
      </c>
      <c r="Z264" s="146">
        <f>U260*V260*F260</f>
        <v>10</v>
      </c>
      <c r="AA264" s="125">
        <f>Y264*Z264</f>
        <v>9100</v>
      </c>
      <c r="AB264" s="12"/>
      <c r="AC264" s="12"/>
      <c r="AD264" s="12"/>
      <c r="AE264" s="12"/>
      <c r="AF264" s="12"/>
      <c r="AG264" s="12"/>
      <c r="AH264" s="12"/>
      <c r="AI264" s="12"/>
      <c r="AJ264" s="129">
        <f>'Rate Tables'!$P$19</f>
        <v>910</v>
      </c>
      <c r="AK264" s="146">
        <f>AG260*AH260*F260</f>
        <v>2</v>
      </c>
      <c r="AL264" s="125">
        <f>AJ264*AK264</f>
        <v>1820</v>
      </c>
      <c r="AM264" s="19">
        <f>VLOOKUP(B238,'Lookup Tables'!$AK$22:$AM$24,3,0)</f>
        <v>1</v>
      </c>
      <c r="AN264" s="12"/>
      <c r="AO264" s="307"/>
      <c r="AP264" s="349">
        <f>IF(AP263="yes",0.5,1)</f>
        <v>1</v>
      </c>
      <c r="AQ264" s="12"/>
      <c r="AR264" s="285"/>
      <c r="AS264" s="12" t="s">
        <v>417</v>
      </c>
    </row>
    <row r="265" spans="1:45" ht="13.5" customHeight="1" x14ac:dyDescent="0.25">
      <c r="A265" s="145"/>
      <c r="B265" s="12"/>
      <c r="C265" s="12"/>
      <c r="D265" s="12"/>
      <c r="E265" s="12"/>
      <c r="F265" s="12"/>
      <c r="G265" s="491" t="s">
        <v>555</v>
      </c>
      <c r="H265" s="175">
        <f>IF(H268&lt;$C$5, H268,$C$5)</f>
        <v>12</v>
      </c>
      <c r="I265" s="178">
        <f>IF(B268&lt;=H268,B268,H268)</f>
        <v>0</v>
      </c>
      <c r="J265" s="12"/>
      <c r="K265" s="12"/>
      <c r="L265" s="12"/>
      <c r="M265" s="129">
        <f>'Rate Tables'!$P$18</f>
        <v>910</v>
      </c>
      <c r="N265" s="146">
        <f>K262*L262*F262</f>
        <v>0</v>
      </c>
      <c r="O265" s="154">
        <f>M265*N265</f>
        <v>0</v>
      </c>
      <c r="P265" s="12"/>
      <c r="Q265" s="12"/>
      <c r="R265" s="12"/>
      <c r="S265" s="12"/>
      <c r="T265" s="12"/>
      <c r="U265" s="12"/>
      <c r="V265" s="12"/>
      <c r="W265" s="12"/>
      <c r="X265" s="12"/>
      <c r="Y265" s="129">
        <f>'Rate Tables'!$P$19</f>
        <v>910</v>
      </c>
      <c r="Z265" s="146">
        <f>U262*V262*F262</f>
        <v>0</v>
      </c>
      <c r="AA265" s="125">
        <f>Y265*Z265</f>
        <v>0</v>
      </c>
      <c r="AB265" s="12"/>
      <c r="AC265" s="12"/>
      <c r="AD265" s="12"/>
      <c r="AE265" s="12"/>
      <c r="AF265" s="12"/>
      <c r="AG265" s="12"/>
      <c r="AH265" s="12"/>
      <c r="AI265" s="12"/>
      <c r="AJ265" s="129">
        <f>'Rate Tables'!$P$20</f>
        <v>928.2</v>
      </c>
      <c r="AK265" s="146">
        <f>AG262*AH262*F262</f>
        <v>0</v>
      </c>
      <c r="AL265" s="125">
        <f>AJ265*AK265</f>
        <v>0</v>
      </c>
      <c r="AM265" s="12" t="s">
        <v>244</v>
      </c>
      <c r="AN265" s="12"/>
      <c r="AO265" s="307"/>
      <c r="AP265" s="12"/>
      <c r="AQ265" s="12"/>
      <c r="AR265" s="285"/>
      <c r="AS265" s="12">
        <f>(AR266+AR267)*AS263</f>
        <v>0</v>
      </c>
    </row>
    <row r="266" spans="1:45" ht="13.5" customHeight="1" x14ac:dyDescent="0.25">
      <c r="A266" s="377" t="s">
        <v>431</v>
      </c>
      <c r="B266" s="375" t="str">
        <f>Personnel!E90</f>
        <v>YES</v>
      </c>
      <c r="C266" s="12"/>
      <c r="D266" s="12"/>
      <c r="E266" s="12"/>
      <c r="F266" s="12"/>
      <c r="G266" s="491" t="s">
        <v>559</v>
      </c>
      <c r="H266" s="12">
        <f>AO251</f>
        <v>0</v>
      </c>
      <c r="I266" s="12"/>
      <c r="J266" s="12"/>
      <c r="K266" s="12"/>
      <c r="L266" s="12"/>
      <c r="M266" s="12"/>
      <c r="N266" s="12"/>
      <c r="O266" s="155"/>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f>IF(AR266&gt;=1,1,0)</f>
        <v>0</v>
      </c>
      <c r="AN266" s="12"/>
      <c r="AO266" s="227"/>
      <c r="AP266" s="226"/>
      <c r="AQ266" s="278" t="s">
        <v>96</v>
      </c>
      <c r="AR266" s="285">
        <f>AR240+AR249+AR258</f>
        <v>0</v>
      </c>
      <c r="AS266" s="15"/>
    </row>
    <row r="267" spans="1:45" ht="13.5" customHeight="1" thickBot="1" x14ac:dyDescent="0.3">
      <c r="A267" s="296" t="s">
        <v>439</v>
      </c>
      <c r="B267" s="114" t="s">
        <v>427</v>
      </c>
      <c r="C267" s="12"/>
      <c r="D267" s="12"/>
      <c r="E267" s="12"/>
      <c r="F267" s="12"/>
      <c r="G267" s="491" t="s">
        <v>560</v>
      </c>
      <c r="H267" s="178">
        <f>VLOOKUP(H260,'Lookup Tables'!$L$62:$Y$74,MATCH(G260,'Lookup Tables'!$L$62:$Y$62,FALSE))</f>
        <v>65</v>
      </c>
      <c r="I267" s="12"/>
      <c r="J267" s="12"/>
      <c r="K267" s="12"/>
      <c r="L267" s="12"/>
      <c r="M267" s="12"/>
      <c r="N267" s="12"/>
      <c r="O267" s="155"/>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227"/>
      <c r="AP267" s="224"/>
      <c r="AQ267" s="278" t="s">
        <v>415</v>
      </c>
      <c r="AR267" s="285">
        <f>AR242+AR250+AR260</f>
        <v>0</v>
      </c>
      <c r="AS267" s="15"/>
    </row>
    <row r="268" spans="1:45" ht="13.5" customHeight="1" thickBot="1" x14ac:dyDescent="0.3">
      <c r="A268" s="380">
        <f>Personnel!E91</f>
        <v>0</v>
      </c>
      <c r="B268" s="273">
        <f>Personnel!E92</f>
        <v>0</v>
      </c>
      <c r="C268" s="12"/>
      <c r="D268" s="12"/>
      <c r="E268" s="12"/>
      <c r="F268" s="12"/>
      <c r="G268" s="12"/>
      <c r="H268" s="175">
        <f>VLOOKUP($E$4,'Lookup Tables'!$L$46:$AA$58,MATCH($H$242,'Lookup Tables'!$L$46:$X$46),FALSE)</f>
        <v>12</v>
      </c>
      <c r="I268" s="12"/>
      <c r="J268" s="12"/>
      <c r="K268" s="12"/>
      <c r="L268" s="12"/>
      <c r="M268" s="12"/>
      <c r="N268" s="12"/>
      <c r="O268" s="155"/>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227"/>
      <c r="AP268" s="224"/>
      <c r="AQ268" s="278" t="s">
        <v>185</v>
      </c>
      <c r="AR268" s="285">
        <f>(AR244+AR252+AR262)*AM266</f>
        <v>0</v>
      </c>
      <c r="AS268" s="373">
        <f>AR266+AR267+AR268+AS265</f>
        <v>0</v>
      </c>
    </row>
    <row r="269" spans="1:45" ht="6" customHeight="1" thickBot="1" x14ac:dyDescent="0.3">
      <c r="A269" s="148"/>
      <c r="B269" s="149"/>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49"/>
      <c r="AL269" s="149"/>
      <c r="AM269" s="149"/>
      <c r="AN269" s="149"/>
      <c r="AO269" s="280"/>
      <c r="AP269" s="149"/>
      <c r="AQ269" s="149"/>
      <c r="AR269" s="281"/>
      <c r="AS269" s="374"/>
    </row>
    <row r="270" spans="1:45" ht="13.5" customHeight="1" x14ac:dyDescent="0.25">
      <c r="A270" s="257" t="s">
        <v>198</v>
      </c>
      <c r="B270" s="359" t="str">
        <f>Personnel!C98</f>
        <v>12 Month</v>
      </c>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282"/>
      <c r="AP270" s="144"/>
      <c r="AQ270" s="144"/>
      <c r="AR270" s="283"/>
      <c r="AS270" s="12"/>
    </row>
    <row r="271" spans="1:45" ht="13.5" customHeight="1" x14ac:dyDescent="0.25">
      <c r="A271" s="258" t="s">
        <v>174</v>
      </c>
      <c r="B271" s="155" t="s">
        <v>12</v>
      </c>
      <c r="C271" s="259" t="s">
        <v>605</v>
      </c>
      <c r="D271" s="12"/>
      <c r="E271" s="12"/>
      <c r="F271" s="12"/>
      <c r="G271" s="12" t="s">
        <v>182</v>
      </c>
      <c r="H271" s="12"/>
      <c r="I271" s="12"/>
      <c r="J271" s="12"/>
      <c r="K271" s="12"/>
      <c r="L271" s="12"/>
      <c r="M271" s="12" t="s">
        <v>167</v>
      </c>
      <c r="N271" s="12"/>
      <c r="O271" s="12">
        <v>21</v>
      </c>
      <c r="P271" s="12"/>
      <c r="Q271" s="12"/>
      <c r="R271" s="12"/>
      <c r="S271" s="12"/>
      <c r="T271" s="12"/>
      <c r="U271" s="12"/>
      <c r="V271" s="12"/>
      <c r="W271" s="12"/>
      <c r="X271" s="12"/>
      <c r="Y271" s="12" t="s">
        <v>168</v>
      </c>
      <c r="Z271" s="12"/>
      <c r="AA271" s="12">
        <v>22</v>
      </c>
      <c r="AB271" s="12"/>
      <c r="AC271" s="12"/>
      <c r="AD271" s="12"/>
      <c r="AE271" s="12"/>
      <c r="AF271" s="12"/>
      <c r="AG271" s="12"/>
      <c r="AH271" s="12"/>
      <c r="AI271" s="12"/>
      <c r="AJ271" s="12" t="s">
        <v>169</v>
      </c>
      <c r="AK271" s="12"/>
      <c r="AL271" s="12">
        <v>23</v>
      </c>
      <c r="AM271" s="12"/>
      <c r="AN271" s="12"/>
      <c r="AO271" s="227"/>
      <c r="AP271" s="12"/>
      <c r="AQ271" s="12"/>
      <c r="AR271" s="275"/>
      <c r="AS271" s="12"/>
    </row>
    <row r="272" spans="1:45" ht="13.5" customHeight="1" x14ac:dyDescent="0.25">
      <c r="A272" s="356">
        <f>Personnel!C99</f>
        <v>0</v>
      </c>
      <c r="B272" s="357">
        <f>Personnel!C100</f>
        <v>0</v>
      </c>
      <c r="C272" s="115">
        <f>(B272*9)*2</f>
        <v>0</v>
      </c>
      <c r="D272" s="12"/>
      <c r="E272" s="12"/>
      <c r="F272" s="12"/>
      <c r="G272" s="12"/>
      <c r="H272" s="12"/>
      <c r="I272" s="12"/>
      <c r="J272" s="12"/>
      <c r="K272" s="12"/>
      <c r="L272" s="12"/>
      <c r="M272" s="12"/>
      <c r="N272" s="12"/>
      <c r="O272" s="12">
        <v>22</v>
      </c>
      <c r="P272" s="12"/>
      <c r="Q272" s="12"/>
      <c r="R272" s="12"/>
      <c r="S272" s="12"/>
      <c r="T272" s="12"/>
      <c r="U272" s="12"/>
      <c r="V272" s="12"/>
      <c r="W272" s="12"/>
      <c r="X272" s="12"/>
      <c r="Y272" s="12"/>
      <c r="Z272" s="12"/>
      <c r="AA272" s="12">
        <v>23</v>
      </c>
      <c r="AB272" s="12"/>
      <c r="AC272" s="12"/>
      <c r="AD272" s="12"/>
      <c r="AE272" s="12"/>
      <c r="AF272" s="12"/>
      <c r="AG272" s="12"/>
      <c r="AH272" s="12"/>
      <c r="AI272" s="12"/>
      <c r="AJ272" s="12"/>
      <c r="AK272" s="12"/>
      <c r="AL272" s="12">
        <v>24</v>
      </c>
      <c r="AM272" s="12"/>
      <c r="AN272" s="12"/>
      <c r="AO272" s="306" t="s">
        <v>412</v>
      </c>
      <c r="AP272" s="348">
        <f>Personnel!G99</f>
        <v>0</v>
      </c>
      <c r="AQ272" s="276" t="s">
        <v>414</v>
      </c>
      <c r="AR272" s="285">
        <f>(N274+Z274+AK274+N276+Z276+AK276)*AM274</f>
        <v>0</v>
      </c>
      <c r="AS272" s="15"/>
    </row>
    <row r="273" spans="1:45" ht="13.5" customHeight="1" x14ac:dyDescent="0.25">
      <c r="A273" s="145"/>
      <c r="B273" s="12"/>
      <c r="C273" s="117" t="s">
        <v>30</v>
      </c>
      <c r="D273" s="12"/>
      <c r="E273" s="13" t="s">
        <v>16</v>
      </c>
      <c r="F273" s="13" t="s">
        <v>42</v>
      </c>
      <c r="G273" s="13" t="s">
        <v>41</v>
      </c>
      <c r="H273" s="65" t="s">
        <v>77</v>
      </c>
      <c r="I273" s="64" t="s">
        <v>90</v>
      </c>
      <c r="J273" s="63" t="s">
        <v>70</v>
      </c>
      <c r="K273" s="52" t="s">
        <v>93</v>
      </c>
      <c r="L273" s="13" t="s">
        <v>35</v>
      </c>
      <c r="M273" s="13" t="s">
        <v>82</v>
      </c>
      <c r="N273" s="13" t="s">
        <v>31</v>
      </c>
      <c r="O273" s="14" t="s">
        <v>69</v>
      </c>
      <c r="P273" s="13" t="s">
        <v>72</v>
      </c>
      <c r="Q273" s="65" t="s">
        <v>80</v>
      </c>
      <c r="R273" s="62" t="s">
        <v>81</v>
      </c>
      <c r="S273" s="65" t="s">
        <v>77</v>
      </c>
      <c r="T273" s="600" t="s">
        <v>83</v>
      </c>
      <c r="U273" s="63" t="s">
        <v>70</v>
      </c>
      <c r="V273" s="13" t="s">
        <v>91</v>
      </c>
      <c r="W273" s="13" t="s">
        <v>43</v>
      </c>
      <c r="X273" s="13" t="s">
        <v>53</v>
      </c>
      <c r="Y273" s="13" t="s">
        <v>68</v>
      </c>
      <c r="Z273" s="13" t="s">
        <v>32</v>
      </c>
      <c r="AA273" s="14" t="s">
        <v>69</v>
      </c>
      <c r="AB273" s="13" t="s">
        <v>72</v>
      </c>
      <c r="AC273" s="13" t="s">
        <v>80</v>
      </c>
      <c r="AD273" s="62" t="s">
        <v>81</v>
      </c>
      <c r="AE273" s="65" t="s">
        <v>77</v>
      </c>
      <c r="AF273" s="63" t="s">
        <v>70</v>
      </c>
      <c r="AG273" s="13" t="s">
        <v>92</v>
      </c>
      <c r="AH273" s="13" t="s">
        <v>44</v>
      </c>
      <c r="AI273" s="13" t="s">
        <v>78</v>
      </c>
      <c r="AJ273" s="13" t="s">
        <v>68</v>
      </c>
      <c r="AK273" s="13" t="s">
        <v>33</v>
      </c>
      <c r="AL273" s="14" t="s">
        <v>69</v>
      </c>
      <c r="AM273" s="13" t="s">
        <v>159</v>
      </c>
      <c r="AN273" s="12"/>
      <c r="AO273" s="227"/>
      <c r="AP273" s="349"/>
      <c r="AQ273" s="227"/>
      <c r="AR273" s="275"/>
      <c r="AS273" s="12"/>
    </row>
    <row r="274" spans="1:45" ht="13.5" customHeight="1" x14ac:dyDescent="0.25">
      <c r="A274" s="145"/>
      <c r="B274" s="12"/>
      <c r="C274" s="115"/>
      <c r="D274" s="12"/>
      <c r="E274" s="118">
        <f>AP272</f>
        <v>0</v>
      </c>
      <c r="F274" s="19">
        <f>IF($D$4=2022,1,0)</f>
        <v>1</v>
      </c>
      <c r="G274" s="178">
        <f>IF($B$298="Yes",$C$5,$I297)</f>
        <v>12</v>
      </c>
      <c r="H274" s="36">
        <f>VLOOKUP(H296,'Lookup Tables'!$A$22:$B$33,2,FALSE)</f>
        <v>3</v>
      </c>
      <c r="I274" s="192">
        <f>VLOOKUP($E$4,'Lookup Tables'!$AB$46:$AN$58,MATCH($H274,'Lookup Tables'!$AB$46:$AN$46),FALSE)</f>
        <v>12</v>
      </c>
      <c r="J274" s="33">
        <f>VLOOKUP(H274,'Lookup Tables'!$A$3:$AA$16,MATCH(PersonCalcYr1!$G274,'Lookup Tables'!$A$3:$AA$3),FALSE)</f>
        <v>1.5161</v>
      </c>
      <c r="K274" s="54">
        <f>VLOOKUP($H296,'Lookup Tables'!$K$23:$L$34,2,FALSE)</f>
        <v>0</v>
      </c>
      <c r="L274" s="12">
        <f>IF(G274&lt;=K274,G274,K274)</f>
        <v>0</v>
      </c>
      <c r="M274" s="195">
        <f>IF(12-I274&gt;=1,1,0)</f>
        <v>0</v>
      </c>
      <c r="N274" s="15">
        <f>(('Rate Tables'!B89*PersonCalcYr1!E274)*PersonCalcYr1!L274)*PersonCalcYr1!F274*M274</f>
        <v>0</v>
      </c>
      <c r="O274" s="28">
        <f>G274-((J274+L274)*M274)</f>
        <v>12</v>
      </c>
      <c r="P274" s="8">
        <f>IF(O274&lt;0,O274*0,1)*O274</f>
        <v>12</v>
      </c>
      <c r="Q274" s="120">
        <f>VLOOKUP($H296,'Lookup Tables'!$A$22:$B$33,2,FALSE)+(L274*M274)+(J274*M274)</f>
        <v>3</v>
      </c>
      <c r="R274" s="121" t="str">
        <f>VLOOKUP(Q274,'Lookup Tables'!$A$38:$B$151,2,FALSE)</f>
        <v>Sept</v>
      </c>
      <c r="S274" s="36">
        <f>VLOOKUP(R274,'Lookup Tables'!$A$22:$B$33,2,FALSE)</f>
        <v>3</v>
      </c>
      <c r="T274" s="599">
        <f>VLOOKUP($E$4,'Lookup Tables'!$AB$63:$AN$75,MATCH(PersonCalcYr1!$S274,'Lookup Tables'!$AB$63:$AN$63),FALSE)</f>
        <v>0.5161</v>
      </c>
      <c r="U274" s="34">
        <f>VLOOKUP(S274,'Lookup Tables'!$A$3:$AA$16,MATCH(PersonCalcYr1!$P274,'Lookup Tables'!$A$3:$AA$3),FALSE)</f>
        <v>1.5161</v>
      </c>
      <c r="V274" s="12">
        <f>9-T274</f>
        <v>8.4839000000000002</v>
      </c>
      <c r="W274" s="122">
        <f>P274-U274</f>
        <v>10.4839</v>
      </c>
      <c r="X274" s="119">
        <f>IF(V274&lt;=W274,V274,W274)</f>
        <v>8.4839000000000002</v>
      </c>
      <c r="Y274" s="195">
        <f>IF(12-T274-U274-X274&gt;=0,1,0)</f>
        <v>1</v>
      </c>
      <c r="Z274" s="20">
        <f>((('Rate Tables'!C89*$E274)*PersonCalcYr1!$X274)*$F274)*Y274</f>
        <v>0</v>
      </c>
      <c r="AA274" s="197">
        <f>O274-(((U274*U278)+X274)*Y274)</f>
        <v>2</v>
      </c>
      <c r="AB274" s="8">
        <f>IF(AA274&lt;0,AA274*0,1)*AA274</f>
        <v>2</v>
      </c>
      <c r="AC274" s="601">
        <f>S274+(X274*Y274)+((U274*U278)*Y274)</f>
        <v>13</v>
      </c>
      <c r="AD274" s="121" t="str">
        <f>VLOOKUP(AC274,'Lookup Tables'!$A$38:$B$151,2,FALSE)</f>
        <v>July</v>
      </c>
      <c r="AE274" s="36">
        <f>VLOOKUP(AD274,'Lookup Tables'!$A$22:$B$33,2,FALSE)</f>
        <v>1</v>
      </c>
      <c r="AF274" s="34">
        <f>VLOOKUP(AE274,'Lookup Tables'!$A$3:$AA$16,MATCH(PersonCalcYr1!AB274,'Lookup Tables'!$A$3:$AA$3),FALSE)</f>
        <v>1.4839</v>
      </c>
      <c r="AG274" s="12">
        <v>9</v>
      </c>
      <c r="AH274" s="122">
        <f>AB274-AF274</f>
        <v>0.5161</v>
      </c>
      <c r="AI274" s="119">
        <f>IF(AG274&lt;=AH274,AG274,AH274)</f>
        <v>0.5161</v>
      </c>
      <c r="AJ274" s="119">
        <f>IF((AG274+AF274)&lt;=0,0,1)</f>
        <v>1</v>
      </c>
      <c r="AK274" s="124">
        <f>((('Rate Tables'!D89*$E274)*PersonCalcYr1!AI274)*$F274)*AJ274</f>
        <v>0</v>
      </c>
      <c r="AL274" s="28">
        <f>AB274-AF274-AI274</f>
        <v>0</v>
      </c>
      <c r="AM274" s="19">
        <f>VLOOKUP(B270,'Lookup Tables'!$AK$22:$AM$24,2,0)</f>
        <v>0</v>
      </c>
      <c r="AN274" s="12"/>
      <c r="AO274" s="227"/>
      <c r="AP274" s="350"/>
      <c r="AQ274" s="276" t="s">
        <v>184</v>
      </c>
      <c r="AR274" s="277">
        <f>AR272*'Rate Tables'!P$8</f>
        <v>0</v>
      </c>
      <c r="AS274" s="224"/>
    </row>
    <row r="275" spans="1:45" ht="13.5" customHeight="1" x14ac:dyDescent="0.25">
      <c r="A275" s="145"/>
      <c r="B275" s="12"/>
      <c r="C275" s="117" t="s">
        <v>597</v>
      </c>
      <c r="D275" s="12"/>
      <c r="E275" s="13" t="s">
        <v>16</v>
      </c>
      <c r="F275" s="13" t="s">
        <v>42</v>
      </c>
      <c r="G275" s="13" t="s">
        <v>41</v>
      </c>
      <c r="H275" s="65" t="s">
        <v>77</v>
      </c>
      <c r="I275" s="64" t="s">
        <v>90</v>
      </c>
      <c r="J275" s="63" t="s">
        <v>70</v>
      </c>
      <c r="K275" s="52" t="s">
        <v>109</v>
      </c>
      <c r="L275" s="13" t="s">
        <v>53</v>
      </c>
      <c r="M275" s="13" t="s">
        <v>82</v>
      </c>
      <c r="N275" s="13" t="s">
        <v>32</v>
      </c>
      <c r="O275" s="14" t="s">
        <v>69</v>
      </c>
      <c r="P275" s="13" t="s">
        <v>72</v>
      </c>
      <c r="Q275" s="65" t="s">
        <v>80</v>
      </c>
      <c r="R275" s="62" t="s">
        <v>81</v>
      </c>
      <c r="S275" s="65" t="s">
        <v>77</v>
      </c>
      <c r="T275" s="600" t="s">
        <v>83</v>
      </c>
      <c r="U275" s="63" t="s">
        <v>70</v>
      </c>
      <c r="V275" s="13" t="s">
        <v>92</v>
      </c>
      <c r="W275" s="13" t="s">
        <v>44</v>
      </c>
      <c r="X275" s="13" t="s">
        <v>78</v>
      </c>
      <c r="Y275" s="13" t="s">
        <v>68</v>
      </c>
      <c r="Z275" s="13" t="s">
        <v>33</v>
      </c>
      <c r="AA275" s="14" t="s">
        <v>69</v>
      </c>
      <c r="AB275" s="13" t="s">
        <v>72</v>
      </c>
      <c r="AC275" s="13" t="s">
        <v>80</v>
      </c>
      <c r="AD275" s="62" t="s">
        <v>81</v>
      </c>
      <c r="AE275" s="65" t="s">
        <v>77</v>
      </c>
      <c r="AF275" s="63" t="s">
        <v>70</v>
      </c>
      <c r="AG275" s="13" t="s">
        <v>94</v>
      </c>
      <c r="AH275" s="13" t="s">
        <v>45</v>
      </c>
      <c r="AI275" s="13" t="s">
        <v>79</v>
      </c>
      <c r="AJ275" s="13" t="s">
        <v>68</v>
      </c>
      <c r="AK275" s="13" t="s">
        <v>34</v>
      </c>
      <c r="AL275" s="14" t="s">
        <v>69</v>
      </c>
      <c r="AM275" s="13"/>
      <c r="AN275" s="12"/>
      <c r="AO275" s="227"/>
      <c r="AP275" s="351"/>
      <c r="AQ275" s="227"/>
      <c r="AR275" s="275"/>
      <c r="AS275" s="12"/>
    </row>
    <row r="276" spans="1:45" ht="13.5" customHeight="1" x14ac:dyDescent="0.25">
      <c r="A276" s="145"/>
      <c r="B276" s="12"/>
      <c r="C276" s="115"/>
      <c r="D276" s="12"/>
      <c r="E276" s="118">
        <f>AP272</f>
        <v>0</v>
      </c>
      <c r="F276" s="19">
        <f>IF($D$4=2023,1,0)</f>
        <v>0</v>
      </c>
      <c r="G276" s="178">
        <f>IF($B$298="Yes",$C$5,$I297)</f>
        <v>12</v>
      </c>
      <c r="H276" s="36">
        <f>VLOOKUP(H296,'Lookup Tables'!$A$22:$B$33,2,FALSE)</f>
        <v>3</v>
      </c>
      <c r="I276" s="192">
        <f>VLOOKUP($E$4,'Lookup Tables'!$AB$46:$AN$58,MATCH($H276,'Lookup Tables'!$AB$46:$AN$46),FALSE)</f>
        <v>12</v>
      </c>
      <c r="J276" s="33">
        <f>VLOOKUP(H276,'Lookup Tables'!$A$3:$AA$16,MATCH(PersonCalcYr1!$G276,'Lookup Tables'!$A$3:$AA$3),FALSE)</f>
        <v>1.5161</v>
      </c>
      <c r="K276" s="54">
        <f>VLOOKUP($H296,'Lookup Tables'!$K$23:$L$34,2,FALSE)</f>
        <v>0</v>
      </c>
      <c r="L276" s="12">
        <f>IF(G276&lt;=K276,G276,K276)</f>
        <v>0</v>
      </c>
      <c r="M276" s="195">
        <f>IF(12-I276&gt;=1,1,0)</f>
        <v>0</v>
      </c>
      <c r="N276" s="15">
        <f>(('Rate Tables'!C89*PersonCalcYr1!E276)*PersonCalcYr1!L276)*PersonCalcYr1!F276*M276</f>
        <v>0</v>
      </c>
      <c r="O276" s="28">
        <f>G276-((J276+L276)*M276)</f>
        <v>12</v>
      </c>
      <c r="P276" s="8">
        <f>IF(O276&lt;0,O276*0,1)*O276</f>
        <v>12</v>
      </c>
      <c r="Q276" s="120">
        <f>VLOOKUP($H296,'Lookup Tables'!$A$22:$B$33,2,FALSE)+(L276*M276)+(J276*M276)</f>
        <v>3</v>
      </c>
      <c r="R276" s="121" t="str">
        <f>VLOOKUP(Q276,'Lookup Tables'!$A$38:$B$151,2,FALSE)</f>
        <v>Sept</v>
      </c>
      <c r="S276" s="36">
        <f>VLOOKUP(R276,'Lookup Tables'!$A$22:$B$33,2,FALSE)</f>
        <v>3</v>
      </c>
      <c r="T276" s="599">
        <f>VLOOKUP($E$4,'Lookup Tables'!$AB$63:$AN$75,MATCH(PersonCalcYr1!$S276,'Lookup Tables'!$AB$63:$AN$63),FALSE)</f>
        <v>0.5161</v>
      </c>
      <c r="U276" s="34">
        <f>VLOOKUP(S276,'Lookup Tables'!$A$3:$AA$16,MATCH(PersonCalcYr1!$P276,'Lookup Tables'!$A$3:$AA$3),FALSE)</f>
        <v>1.5161</v>
      </c>
      <c r="V276" s="12">
        <f>9-T276</f>
        <v>8.4839000000000002</v>
      </c>
      <c r="W276" s="122">
        <f>P276-U276</f>
        <v>10.4839</v>
      </c>
      <c r="X276" s="119">
        <f>IF(V276&lt;=W276,V276,W276)</f>
        <v>8.4839000000000002</v>
      </c>
      <c r="Y276" s="195">
        <f>IF(12-T276-U276-X276&gt;=0,1,0)</f>
        <v>1</v>
      </c>
      <c r="Z276" s="20">
        <f>((('Rate Tables'!D89*$E276)*PersonCalcYr1!$X276)*$F276)*Y276</f>
        <v>0</v>
      </c>
      <c r="AA276" s="197">
        <f>O276-(((U276*U278)+X276)*Y276)</f>
        <v>2</v>
      </c>
      <c r="AB276" s="8">
        <f>IF(AA276&lt;0,AA276*0,1)*AA276</f>
        <v>2</v>
      </c>
      <c r="AC276" s="601">
        <f>S276+(X276*Y276)+((U276*U278)*Y276)</f>
        <v>13</v>
      </c>
      <c r="AD276" s="121" t="str">
        <f>VLOOKUP(AC276,'Lookup Tables'!$A$38:$B$151,2,FALSE)</f>
        <v>July</v>
      </c>
      <c r="AE276" s="36">
        <f>VLOOKUP(AD276,'Lookup Tables'!$A$22:$B$33,2,FALSE)</f>
        <v>1</v>
      </c>
      <c r="AF276" s="34">
        <f>VLOOKUP(AE276,'Lookup Tables'!$A$3:$AA$16,MATCH(PersonCalcYr1!AB276,'Lookup Tables'!$A$3:$AA$3),FALSE)</f>
        <v>1.4839</v>
      </c>
      <c r="AG276" s="12">
        <v>9</v>
      </c>
      <c r="AH276" s="122">
        <f>AB276-AF276</f>
        <v>0.5161</v>
      </c>
      <c r="AI276" s="119">
        <f>IF(AG276&lt;=AH276,AG276,AH276)</f>
        <v>0.5161</v>
      </c>
      <c r="AJ276" s="119">
        <f>IF((AG276+AF276)&lt;=0,0,1)</f>
        <v>1</v>
      </c>
      <c r="AK276" s="124">
        <f>((('Rate Tables'!E89*$E276)*PersonCalcYr1!AI276)*$F276)*AJ276</f>
        <v>0</v>
      </c>
      <c r="AL276" s="28">
        <f>AB276-AF276-AI276</f>
        <v>0</v>
      </c>
      <c r="AM276" s="19"/>
      <c r="AN276" s="12"/>
      <c r="AO276" s="1199" t="s">
        <v>580</v>
      </c>
      <c r="AP276" s="349" t="s">
        <v>643</v>
      </c>
      <c r="AQ276" s="276" t="s">
        <v>134</v>
      </c>
      <c r="AR276" s="286">
        <f>(((O278+O279+AA278+AA279+AL278+AL279)*AM278)*AR277)*AP279</f>
        <v>0</v>
      </c>
      <c r="AS276" s="146"/>
    </row>
    <row r="277" spans="1:45" ht="13.5" customHeight="1" x14ac:dyDescent="0.25">
      <c r="A277" s="145"/>
      <c r="B277" s="12"/>
      <c r="C277" s="115"/>
      <c r="D277" s="12"/>
      <c r="E277" s="118"/>
      <c r="F277" s="19"/>
      <c r="G277" s="12"/>
      <c r="H277" s="12"/>
      <c r="I277" s="141"/>
      <c r="J277" s="228" t="s">
        <v>183</v>
      </c>
      <c r="K277" s="13" t="s">
        <v>181</v>
      </c>
      <c r="L277" s="13" t="s">
        <v>179</v>
      </c>
      <c r="M277" s="13" t="s">
        <v>180</v>
      </c>
      <c r="N277" s="660" t="s">
        <v>128</v>
      </c>
      <c r="O277" s="135" t="s">
        <v>130</v>
      </c>
      <c r="P277" s="8"/>
      <c r="Q277" s="123"/>
      <c r="R277" s="12"/>
      <c r="S277" s="12"/>
      <c r="T277" s="12"/>
      <c r="U277" s="12"/>
      <c r="V277" s="228" t="s">
        <v>183</v>
      </c>
      <c r="W277" s="13" t="s">
        <v>181</v>
      </c>
      <c r="X277" s="13" t="s">
        <v>179</v>
      </c>
      <c r="Y277" s="13" t="s">
        <v>180</v>
      </c>
      <c r="Z277" s="13" t="s">
        <v>128</v>
      </c>
      <c r="AA277" s="135" t="s">
        <v>130</v>
      </c>
      <c r="AB277" s="8"/>
      <c r="AC277" s="123"/>
      <c r="AD277" s="12"/>
      <c r="AE277" s="12"/>
      <c r="AF277" s="12"/>
      <c r="AG277" s="228" t="s">
        <v>183</v>
      </c>
      <c r="AH277" s="13" t="s">
        <v>181</v>
      </c>
      <c r="AI277" s="13" t="s">
        <v>179</v>
      </c>
      <c r="AJ277" s="13" t="s">
        <v>180</v>
      </c>
      <c r="AK277" s="52" t="s">
        <v>128</v>
      </c>
      <c r="AL277" s="135" t="s">
        <v>130</v>
      </c>
      <c r="AM277" s="13" t="s">
        <v>159</v>
      </c>
      <c r="AN277" s="12"/>
      <c r="AO277" s="1199"/>
      <c r="AP277" s="350" t="s">
        <v>644</v>
      </c>
      <c r="AQ277" s="227" t="s">
        <v>582</v>
      </c>
      <c r="AR277" s="663">
        <f>IF(AR272&gt;0,1,0)</f>
        <v>0</v>
      </c>
      <c r="AS277" s="12"/>
    </row>
    <row r="278" spans="1:45" ht="13.5" customHeight="1" x14ac:dyDescent="0.25">
      <c r="A278" s="145"/>
      <c r="B278" s="227"/>
      <c r="C278" s="115"/>
      <c r="D278" s="12"/>
      <c r="E278" s="118"/>
      <c r="F278" s="19"/>
      <c r="G278" s="12"/>
      <c r="H278" s="12"/>
      <c r="I278" s="141"/>
      <c r="J278" s="141">
        <f>IF($AO283&gt;0,1,0)</f>
        <v>0</v>
      </c>
      <c r="K278" s="12">
        <f>IF($AO283=0,1,0)</f>
        <v>1</v>
      </c>
      <c r="L278" s="129">
        <f>'Rate Tables'!$P$17</f>
        <v>910</v>
      </c>
      <c r="M278" s="129">
        <f>'Rate Tables'!$Q$17</f>
        <v>933.34</v>
      </c>
      <c r="N278" s="661">
        <f>ROUNDUP(N280,0)</f>
        <v>0</v>
      </c>
      <c r="O278" s="136">
        <f>((J278*L278)+(K278*M278))*N278</f>
        <v>0</v>
      </c>
      <c r="P278" s="8"/>
      <c r="Q278" s="123"/>
      <c r="R278" s="12"/>
      <c r="S278" s="12"/>
      <c r="T278" s="605" t="s">
        <v>573</v>
      </c>
      <c r="U278" s="606">
        <f>VLOOKUP($E$4,'Lookup Tables'!$L$79:$X$91,MATCH(PersonCalcYr1!$S274,'Lookup Tables'!$L$79:$X$79),FALSE)</f>
        <v>1</v>
      </c>
      <c r="V278" s="141">
        <f>IF($AO283&gt;0,1,0)</f>
        <v>0</v>
      </c>
      <c r="W278" s="12">
        <f>IF($AO283=0,1,0)</f>
        <v>1</v>
      </c>
      <c r="X278" s="129">
        <f>'Rate Tables'!$P$18</f>
        <v>910</v>
      </c>
      <c r="Y278" s="129">
        <f>'Rate Tables'!$Q$18</f>
        <v>933.34</v>
      </c>
      <c r="Z278" s="657">
        <f>IF(Y280&lt;=AA281,Y280,AA281)</f>
        <v>9</v>
      </c>
      <c r="AA278" s="136">
        <f>((V278*X278)+(W278*Y278))*Z278</f>
        <v>8400.06</v>
      </c>
      <c r="AB278" s="8"/>
      <c r="AC278" s="123"/>
      <c r="AD278" s="12"/>
      <c r="AE278" s="12"/>
      <c r="AF278" s="12"/>
      <c r="AG278" s="141">
        <f>IF($AO283&gt;0,1,0)</f>
        <v>0</v>
      </c>
      <c r="AH278" s="12">
        <f>IF($AO283=0,1,0)</f>
        <v>1</v>
      </c>
      <c r="AI278" s="129">
        <f>'Rate Tables'!$P$19</f>
        <v>910</v>
      </c>
      <c r="AJ278" s="129">
        <f>'Rate Tables'!$Q$19</f>
        <v>933.34</v>
      </c>
      <c r="AK278" s="657">
        <f>IF(AJ280&lt;=AL280,AJ280,AL280)</f>
        <v>0</v>
      </c>
      <c r="AL278" s="136">
        <f>((AG278*AI278)+(AH278*AJ278))*AK278</f>
        <v>0</v>
      </c>
      <c r="AM278" s="19">
        <f>VLOOKUP(B270,'Lookup Tables'!$AK$22:$AM$24,2,0)</f>
        <v>0</v>
      </c>
      <c r="AN278" s="12"/>
      <c r="AO278" s="307">
        <f>N280+N281+Z281+Z282+AK280+AK281</f>
        <v>9</v>
      </c>
      <c r="AP278" s="358" t="str">
        <f>IF(AP272=50%,"no",Personnel!G102)</f>
        <v>No</v>
      </c>
      <c r="AQ278" s="12"/>
      <c r="AR278" s="275"/>
      <c r="AS278" s="12"/>
    </row>
    <row r="279" spans="1:45" ht="13.5" customHeight="1" x14ac:dyDescent="0.25">
      <c r="A279" s="145"/>
      <c r="B279" s="12"/>
      <c r="C279" s="115"/>
      <c r="D279" s="12"/>
      <c r="E279" s="126"/>
      <c r="F279" s="19"/>
      <c r="G279" s="12"/>
      <c r="H279" s="12"/>
      <c r="I279" s="12"/>
      <c r="J279" s="141">
        <f>IF($AO283&gt;0,1,0)</f>
        <v>0</v>
      </c>
      <c r="K279" s="12">
        <f>IF($AO283=0,1,0)</f>
        <v>1</v>
      </c>
      <c r="L279" s="129">
        <f>'Rate Tables'!$P$18</f>
        <v>910</v>
      </c>
      <c r="M279" s="129">
        <f>'Rate Tables'!$Q$18</f>
        <v>933.34</v>
      </c>
      <c r="N279" s="661">
        <f>ROUNDUP(N281,0)</f>
        <v>0</v>
      </c>
      <c r="O279" s="136">
        <f>((J279*L279)+(K279*M279))*N279</f>
        <v>0</v>
      </c>
      <c r="P279" s="19"/>
      <c r="Q279" s="19"/>
      <c r="R279" s="19"/>
      <c r="S279" s="19"/>
      <c r="T279" s="19"/>
      <c r="U279" s="12"/>
      <c r="V279" s="141">
        <f>IF($AO283&gt;0,1,0)</f>
        <v>0</v>
      </c>
      <c r="W279" s="12">
        <f>IF($AO283=0,1,0)</f>
        <v>1</v>
      </c>
      <c r="X279" s="129">
        <f>'Rate Tables'!$P$19</f>
        <v>910</v>
      </c>
      <c r="Y279" s="129">
        <f>'Rate Tables'!$Q$19</f>
        <v>933.34</v>
      </c>
      <c r="Z279" s="657">
        <f>IF(Y280&lt;=AA282,Y280,AA282)</f>
        <v>0</v>
      </c>
      <c r="AA279" s="136">
        <f>((V279*X279)+(W279*Y279))*Z279</f>
        <v>0</v>
      </c>
      <c r="AB279" s="20"/>
      <c r="AC279" s="20"/>
      <c r="AD279" s="20"/>
      <c r="AE279" s="20"/>
      <c r="AF279" s="123"/>
      <c r="AG279" s="141">
        <f>IF($AO283&gt;0,1,0)</f>
        <v>0</v>
      </c>
      <c r="AH279" s="12">
        <f>IF($AO283=0,1,0)</f>
        <v>1</v>
      </c>
      <c r="AI279" s="129">
        <f>'Rate Tables'!$P$20</f>
        <v>928.2</v>
      </c>
      <c r="AJ279" s="129">
        <f>'Rate Tables'!$Q$20</f>
        <v>952</v>
      </c>
      <c r="AK279" s="657">
        <f>IF(AJ280&lt;=AL281,AJ280,AL281)</f>
        <v>0</v>
      </c>
      <c r="AL279" s="136">
        <f>((AG279*AI279)+(AH279*AJ279))*AK279</f>
        <v>0</v>
      </c>
      <c r="AM279" s="19"/>
      <c r="AN279" s="12"/>
      <c r="AO279" s="307">
        <f>ROUNDUP(AO278,0)</f>
        <v>9</v>
      </c>
      <c r="AP279" s="349">
        <f>IF(AP278="yes",0.5,1)</f>
        <v>1</v>
      </c>
      <c r="AQ279" s="12"/>
      <c r="AR279" s="275"/>
      <c r="AS279" s="12"/>
    </row>
    <row r="280" spans="1:45" ht="13.5" customHeight="1" x14ac:dyDescent="0.25">
      <c r="A280" s="145"/>
      <c r="B280" s="12"/>
      <c r="C280" s="115"/>
      <c r="D280" s="12"/>
      <c r="E280" s="126"/>
      <c r="F280" s="19"/>
      <c r="G280" s="12" t="s">
        <v>585</v>
      </c>
      <c r="H280" s="12"/>
      <c r="I280" s="12"/>
      <c r="J280" s="141"/>
      <c r="K280" s="12"/>
      <c r="L280" s="129"/>
      <c r="M280" s="129"/>
      <c r="N280" s="661">
        <f>L274*M274*F274</f>
        <v>0</v>
      </c>
      <c r="O280" s="136"/>
      <c r="P280" s="19"/>
      <c r="Q280" s="19"/>
      <c r="R280" s="19"/>
      <c r="S280" s="19"/>
      <c r="T280" s="19"/>
      <c r="U280" s="12"/>
      <c r="V280" s="141"/>
      <c r="W280" s="12"/>
      <c r="X280" s="653" t="s">
        <v>581</v>
      </c>
      <c r="Y280" s="653">
        <f>AO279-N278-N279</f>
        <v>9</v>
      </c>
      <c r="Z280" s="657"/>
      <c r="AA280" s="125"/>
      <c r="AB280" s="20"/>
      <c r="AC280" s="20"/>
      <c r="AD280" s="20"/>
      <c r="AE280" s="20"/>
      <c r="AF280" s="123"/>
      <c r="AG280" s="141"/>
      <c r="AH280" s="12"/>
      <c r="AI280" s="653" t="s">
        <v>581</v>
      </c>
      <c r="AJ280" s="653">
        <f>Y280-Z278-Z279</f>
        <v>0</v>
      </c>
      <c r="AK280" s="654">
        <f>AI274*AJ274*F274</f>
        <v>0.5161</v>
      </c>
      <c r="AL280" s="655">
        <f>ROUNDUP(AK280,0)</f>
        <v>1</v>
      </c>
      <c r="AM280" s="19"/>
      <c r="AN280" s="12"/>
      <c r="AO280" s="307"/>
      <c r="AP280" s="349"/>
      <c r="AQ280" s="12"/>
      <c r="AR280" s="275"/>
      <c r="AS280" s="12"/>
    </row>
    <row r="281" spans="1:45" ht="13.5" customHeight="1" x14ac:dyDescent="0.25">
      <c r="A281" s="145"/>
      <c r="B281" s="12">
        <v>2</v>
      </c>
      <c r="C281" s="259" t="s">
        <v>606</v>
      </c>
      <c r="D281" s="12"/>
      <c r="E281" s="126"/>
      <c r="F281" s="19"/>
      <c r="G281" s="12"/>
      <c r="H281" s="12"/>
      <c r="I281" s="12"/>
      <c r="J281" s="12"/>
      <c r="K281" s="12"/>
      <c r="L281" s="12"/>
      <c r="M281" s="12"/>
      <c r="N281" s="662">
        <f>L276*M276*F276</f>
        <v>0</v>
      </c>
      <c r="O281" s="18"/>
      <c r="P281" s="19"/>
      <c r="Q281" s="19"/>
      <c r="R281" s="19"/>
      <c r="S281" s="19"/>
      <c r="T281" s="19"/>
      <c r="U281" s="12"/>
      <c r="V281" s="122"/>
      <c r="W281" s="122"/>
      <c r="X281" s="656"/>
      <c r="Y281" s="657"/>
      <c r="Z281" s="654">
        <f>X274*Y274*F274</f>
        <v>8.4839000000000002</v>
      </c>
      <c r="AA281" s="655">
        <f>ROUNDUP(Z281,0)</f>
        <v>9</v>
      </c>
      <c r="AB281" s="20"/>
      <c r="AC281" s="20"/>
      <c r="AD281" s="20"/>
      <c r="AE281" s="20"/>
      <c r="AF281" s="123"/>
      <c r="AG281" s="122"/>
      <c r="AH281" s="122"/>
      <c r="AI281" s="656"/>
      <c r="AJ281" s="656"/>
      <c r="AK281" s="658">
        <f>AI276*AJ276*F276</f>
        <v>0</v>
      </c>
      <c r="AL281" s="659">
        <f>ROUNDUP(AK281,0)</f>
        <v>0</v>
      </c>
      <c r="AM281" s="19"/>
      <c r="AN281" s="12"/>
      <c r="AO281" s="370" t="s">
        <v>411</v>
      </c>
      <c r="AP281" s="352" t="str">
        <f>Personnel!G100</f>
        <v>None</v>
      </c>
      <c r="AQ281" s="276" t="s">
        <v>117</v>
      </c>
      <c r="AR281" s="285">
        <f>(N283+N285+W283+W285+AJ283+AJ285)*AM283</f>
        <v>0</v>
      </c>
      <c r="AS281" s="15"/>
    </row>
    <row r="282" spans="1:45" ht="13.5" customHeight="1" x14ac:dyDescent="0.25">
      <c r="A282" s="145"/>
      <c r="B282" s="12"/>
      <c r="C282" s="117" t="s">
        <v>30</v>
      </c>
      <c r="D282" s="12"/>
      <c r="E282" s="13" t="s">
        <v>84</v>
      </c>
      <c r="F282" s="13" t="s">
        <v>42</v>
      </c>
      <c r="G282" s="13" t="s">
        <v>41</v>
      </c>
      <c r="H282" s="65" t="s">
        <v>77</v>
      </c>
      <c r="I282" s="137" t="s">
        <v>101</v>
      </c>
      <c r="J282" s="139" t="s">
        <v>102</v>
      </c>
      <c r="K282" s="127" t="s">
        <v>98</v>
      </c>
      <c r="L282" s="13" t="s">
        <v>100</v>
      </c>
      <c r="M282" s="13" t="s">
        <v>82</v>
      </c>
      <c r="N282" s="13" t="s">
        <v>31</v>
      </c>
      <c r="O282" s="14" t="s">
        <v>69</v>
      </c>
      <c r="P282" s="13" t="s">
        <v>72</v>
      </c>
      <c r="Q282" s="13" t="s">
        <v>103</v>
      </c>
      <c r="R282" s="65" t="s">
        <v>77</v>
      </c>
      <c r="S282" s="137" t="s">
        <v>101</v>
      </c>
      <c r="T282" s="139" t="s">
        <v>102</v>
      </c>
      <c r="U282" s="12" t="s">
        <v>98</v>
      </c>
      <c r="V282" s="13" t="s">
        <v>100</v>
      </c>
      <c r="W282" s="13" t="s">
        <v>32</v>
      </c>
      <c r="X282" s="13" t="s">
        <v>69</v>
      </c>
      <c r="Y282" s="13"/>
      <c r="Z282" s="658">
        <f>X276*Y276*F276</f>
        <v>0</v>
      </c>
      <c r="AA282" s="659">
        <f>ROUNDUP(Z282,0)</f>
        <v>0</v>
      </c>
      <c r="AB282" s="13" t="s">
        <v>72</v>
      </c>
      <c r="AC282" s="13" t="s">
        <v>103</v>
      </c>
      <c r="AD282" s="13"/>
      <c r="AE282" s="65" t="s">
        <v>77</v>
      </c>
      <c r="AF282" s="137" t="s">
        <v>101</v>
      </c>
      <c r="AG282" s="139" t="s">
        <v>102</v>
      </c>
      <c r="AH282" s="12" t="s">
        <v>98</v>
      </c>
      <c r="AI282" s="13" t="s">
        <v>100</v>
      </c>
      <c r="AJ282" s="13" t="s">
        <v>33</v>
      </c>
      <c r="AK282" s="13" t="s">
        <v>69</v>
      </c>
      <c r="AL282" s="18"/>
      <c r="AM282" s="13" t="s">
        <v>159</v>
      </c>
      <c r="AN282" s="12"/>
      <c r="AO282" s="276" t="s">
        <v>95</v>
      </c>
      <c r="AP282" s="349"/>
      <c r="AQ282" s="276" t="s">
        <v>186</v>
      </c>
      <c r="AR282" s="277">
        <f>AR281*'Rate Tables'!P$8</f>
        <v>0</v>
      </c>
      <c r="AS282" s="224"/>
    </row>
    <row r="283" spans="1:45" ht="13.5" customHeight="1" x14ac:dyDescent="0.25">
      <c r="A283" s="145"/>
      <c r="B283" s="12"/>
      <c r="C283" s="115"/>
      <c r="D283" s="12"/>
      <c r="E283" s="211">
        <f>IF(H298&lt;=H299,H298,H299)</f>
        <v>0</v>
      </c>
      <c r="F283" s="19">
        <f>IF($D$4=2022,1,0)</f>
        <v>1</v>
      </c>
      <c r="G283" s="178">
        <f>IF($B$298="Yes",$C$5,$I297)</f>
        <v>12</v>
      </c>
      <c r="H283" s="36">
        <f>H274</f>
        <v>3</v>
      </c>
      <c r="I283" s="138">
        <f>VLOOKUP(J274,'Lookup Tables'!$AB$22:$AC$31,2,FALSE)</f>
        <v>32</v>
      </c>
      <c r="J283" s="140">
        <f>VLOOKUP(U274,'Lookup Tables'!$AB$32:$AC$41,2,FALSE)</f>
        <v>33</v>
      </c>
      <c r="K283" s="123">
        <f>E283-J283</f>
        <v>-33</v>
      </c>
      <c r="L283" s="12">
        <f>IF(K283&gt;0,1,0)</f>
        <v>0</v>
      </c>
      <c r="M283" s="119">
        <f>M274</f>
        <v>0</v>
      </c>
      <c r="N283" s="15">
        <f>((((('Rate Tables'!B89*9)*0.02778)/5)*K283)*L283)*F283*M283*AO285</f>
        <v>0</v>
      </c>
      <c r="O283" s="28">
        <f>O274</f>
        <v>12</v>
      </c>
      <c r="P283" s="8">
        <f>IF(O283&lt;0,O283*0,1)*O283</f>
        <v>12</v>
      </c>
      <c r="Q283" s="123">
        <f>(E283-K283*F283*L283*M283)</f>
        <v>0</v>
      </c>
      <c r="R283" s="36">
        <f>S274</f>
        <v>3</v>
      </c>
      <c r="S283" s="138">
        <f>VLOOKUP(U274,'Lookup Tables'!$AB$22:$AC$31,2,FALSE)</f>
        <v>32</v>
      </c>
      <c r="T283" s="140">
        <f>VLOOKUP(AF274,'Lookup Tables'!$AB$32:$AC$41,2,FALSE)</f>
        <v>33</v>
      </c>
      <c r="U283" s="129">
        <f>Q283-T283</f>
        <v>-33</v>
      </c>
      <c r="V283" s="12">
        <f>IF(U283&gt;0,1,0)</f>
        <v>0</v>
      </c>
      <c r="W283" s="15">
        <f>((('Rate Tables'!C89*9)*0.02778)/5)*U283*F283*V283*AO285</f>
        <v>0</v>
      </c>
      <c r="X283" s="8">
        <f>AA274</f>
        <v>2</v>
      </c>
      <c r="Y283" s="12"/>
      <c r="Z283" s="119"/>
      <c r="AA283" s="18"/>
      <c r="AB283" s="8">
        <f>IF(X283&lt;0,X283*0,1)*X283</f>
        <v>2</v>
      </c>
      <c r="AC283" s="123">
        <f>Q283-(U283*V283)</f>
        <v>0</v>
      </c>
      <c r="AD283" s="12"/>
      <c r="AE283" s="36">
        <f>AE274</f>
        <v>1</v>
      </c>
      <c r="AF283" s="138">
        <f>VLOOKUP(AF274,'Lookup Tables'!$AB$22:$AC$31,2,FALSE)</f>
        <v>32</v>
      </c>
      <c r="AG283" s="140">
        <v>0</v>
      </c>
      <c r="AH283" s="125">
        <f>AC283-AG283</f>
        <v>0</v>
      </c>
      <c r="AI283" s="12">
        <f>IF(AH283&gt;0,1,0)</f>
        <v>0</v>
      </c>
      <c r="AJ283" s="15">
        <f>((('Rate Tables'!D89*9)*0.02778)/5)*AH283*AI283*F283*AO285</f>
        <v>0</v>
      </c>
      <c r="AK283" s="8">
        <f>AL274</f>
        <v>0</v>
      </c>
      <c r="AL283" s="18"/>
      <c r="AM283" s="19">
        <f>VLOOKUP(B270,'Lookup Tables'!$AK$22:$AM$24,2,0)</f>
        <v>0</v>
      </c>
      <c r="AN283" s="12"/>
      <c r="AO283" s="308">
        <f>VLOOKUP(AP281,'Lookup Tables'!$AF$22:$AG$24,2,FALSE)</f>
        <v>0</v>
      </c>
      <c r="AP283" s="349" t="s">
        <v>643</v>
      </c>
      <c r="AQ283" s="12"/>
      <c r="AR283" s="275"/>
      <c r="AS283" s="12"/>
    </row>
    <row r="284" spans="1:45" ht="13.5" customHeight="1" x14ac:dyDescent="0.25">
      <c r="A284" s="145"/>
      <c r="B284" s="12"/>
      <c r="C284" s="117" t="s">
        <v>597</v>
      </c>
      <c r="D284" s="12"/>
      <c r="E284" s="13" t="s">
        <v>84</v>
      </c>
      <c r="F284" s="13" t="s">
        <v>42</v>
      </c>
      <c r="G284" s="13" t="s">
        <v>41</v>
      </c>
      <c r="H284" s="65" t="s">
        <v>77</v>
      </c>
      <c r="I284" s="137" t="s">
        <v>105</v>
      </c>
      <c r="J284" s="139" t="s">
        <v>106</v>
      </c>
      <c r="K284" s="127" t="s">
        <v>99</v>
      </c>
      <c r="L284" s="13" t="s">
        <v>100</v>
      </c>
      <c r="M284" s="13" t="s">
        <v>82</v>
      </c>
      <c r="N284" s="13" t="s">
        <v>32</v>
      </c>
      <c r="O284" s="14" t="s">
        <v>69</v>
      </c>
      <c r="P284" s="13" t="s">
        <v>72</v>
      </c>
      <c r="Q284" s="13" t="s">
        <v>103</v>
      </c>
      <c r="R284" s="65" t="s">
        <v>77</v>
      </c>
      <c r="S284" s="137" t="s">
        <v>105</v>
      </c>
      <c r="T284" s="139" t="s">
        <v>106</v>
      </c>
      <c r="U284" s="12" t="s">
        <v>98</v>
      </c>
      <c r="V284" s="13" t="s">
        <v>100</v>
      </c>
      <c r="W284" s="13" t="s">
        <v>33</v>
      </c>
      <c r="X284" s="13" t="s">
        <v>69</v>
      </c>
      <c r="Y284" s="13"/>
      <c r="Z284" s="13"/>
      <c r="AA284" s="18"/>
      <c r="AB284" s="13" t="s">
        <v>72</v>
      </c>
      <c r="AC284" s="13" t="s">
        <v>104</v>
      </c>
      <c r="AD284" s="13"/>
      <c r="AE284" s="65" t="s">
        <v>77</v>
      </c>
      <c r="AF284" s="137" t="s">
        <v>105</v>
      </c>
      <c r="AG284" s="139" t="s">
        <v>106</v>
      </c>
      <c r="AH284" s="12" t="s">
        <v>98</v>
      </c>
      <c r="AI284" s="13" t="s">
        <v>100</v>
      </c>
      <c r="AJ284" s="13" t="s">
        <v>34</v>
      </c>
      <c r="AK284" s="13" t="s">
        <v>69</v>
      </c>
      <c r="AL284" s="18"/>
      <c r="AM284" s="13"/>
      <c r="AN284" s="12"/>
      <c r="AO284" s="227" t="s">
        <v>126</v>
      </c>
      <c r="AP284" s="350" t="s">
        <v>644</v>
      </c>
      <c r="AQ284" s="276" t="s">
        <v>187</v>
      </c>
      <c r="AR284" s="286">
        <f>(((O287+O288+AA287+AA288+AL287+AL288)*AM287)*AR285)*AP286</f>
        <v>0</v>
      </c>
      <c r="AS284" s="146"/>
    </row>
    <row r="285" spans="1:45" ht="13.5" customHeight="1" x14ac:dyDescent="0.25">
      <c r="A285" s="145"/>
      <c r="B285" s="12"/>
      <c r="C285" s="115"/>
      <c r="D285" s="12"/>
      <c r="E285" s="128">
        <f>E283</f>
        <v>0</v>
      </c>
      <c r="F285" s="19">
        <f>IF($D$4=2023,1,0)</f>
        <v>0</v>
      </c>
      <c r="G285" s="178">
        <f>IF($B$298="Yes",$C$5,$I297)</f>
        <v>12</v>
      </c>
      <c r="H285" s="36">
        <f>H276</f>
        <v>3</v>
      </c>
      <c r="I285" s="138">
        <f>VLOOKUP(J276,'Lookup Tables'!$AB$22:$AC$31,2,FALSE)</f>
        <v>32</v>
      </c>
      <c r="J285" s="140">
        <f>VLOOKUP(U276,'Lookup Tables'!$AB$32:$AC$41,2,FALSE)</f>
        <v>33</v>
      </c>
      <c r="K285" s="123">
        <f>E285-J285</f>
        <v>-33</v>
      </c>
      <c r="L285" s="12">
        <f>IF(K285&gt;0,1,0)</f>
        <v>0</v>
      </c>
      <c r="M285" s="119">
        <f>M276</f>
        <v>0</v>
      </c>
      <c r="N285" s="15">
        <f>((((('Rate Tables'!C89*9)*0.02778)/5)*K285)*L285)*F285*M285*AO285</f>
        <v>0</v>
      </c>
      <c r="O285" s="28">
        <f>O276</f>
        <v>12</v>
      </c>
      <c r="P285" s="8">
        <f>IF(O285&lt;0,O285*0,1)*O285</f>
        <v>12</v>
      </c>
      <c r="Q285" s="123">
        <f>(E285-K285*F285*L285*M285)</f>
        <v>0</v>
      </c>
      <c r="R285" s="36">
        <f>S276</f>
        <v>3</v>
      </c>
      <c r="S285" s="138">
        <f>VLOOKUP(U276,'Lookup Tables'!$AB$22:$AC$31,2,FALSE)</f>
        <v>32</v>
      </c>
      <c r="T285" s="140">
        <f>VLOOKUP(AF276,'Lookup Tables'!$AB$32:$AC$41,2,FALSE)</f>
        <v>33</v>
      </c>
      <c r="U285" s="129">
        <f>Q285-T285</f>
        <v>-33</v>
      </c>
      <c r="V285" s="12">
        <f>IF(U285&gt;0,1,0)</f>
        <v>0</v>
      </c>
      <c r="W285" s="15">
        <f>((('Rate Tables'!D89*9)*0.02778)/5)*U285*F285*V285*AO285</f>
        <v>0</v>
      </c>
      <c r="X285" s="8">
        <f>AA276</f>
        <v>2</v>
      </c>
      <c r="Y285" s="12"/>
      <c r="Z285" s="119"/>
      <c r="AA285" s="18"/>
      <c r="AB285" s="8">
        <f>IF(X285&lt;0,X285*0,1)*X285</f>
        <v>2</v>
      </c>
      <c r="AC285" s="123">
        <f>Q285-(U285*V285)</f>
        <v>0</v>
      </c>
      <c r="AD285" s="12"/>
      <c r="AE285" s="36">
        <f>AE276</f>
        <v>1</v>
      </c>
      <c r="AF285" s="138">
        <f>VLOOKUP(AF276,'Lookup Tables'!$AB$22:$AC$31,2,FALSE)</f>
        <v>32</v>
      </c>
      <c r="AG285" s="140">
        <v>0</v>
      </c>
      <c r="AH285" s="125">
        <f>AC285-AG285</f>
        <v>0</v>
      </c>
      <c r="AI285" s="12">
        <f>IF(AH285&gt;0,1,0)</f>
        <v>0</v>
      </c>
      <c r="AJ285" s="15">
        <f>((('Rate Tables'!E89*9)*0.02778)/5)*AH285*AI285*F285*AO285</f>
        <v>0</v>
      </c>
      <c r="AK285" s="8">
        <f>AL276</f>
        <v>0</v>
      </c>
      <c r="AL285" s="18"/>
      <c r="AM285" s="19"/>
      <c r="AN285" s="12"/>
      <c r="AO285" s="319">
        <f>VLOOKUP(AP281,'Lookup Tables'!$AF$26:$AG$28,2,0)</f>
        <v>0</v>
      </c>
      <c r="AP285" s="358" t="str">
        <f>IF(AP281="50% Sum","no",Personnel!G102)</f>
        <v>No</v>
      </c>
      <c r="AQ285" s="227" t="s">
        <v>582</v>
      </c>
      <c r="AR285" s="663">
        <f>IF(AR281&gt;0,1,0)</f>
        <v>0</v>
      </c>
      <c r="AS285" s="12"/>
    </row>
    <row r="286" spans="1:45" ht="13.5" customHeight="1" x14ac:dyDescent="0.25">
      <c r="A286" s="145"/>
      <c r="B286" s="12"/>
      <c r="C286" s="114"/>
      <c r="D286" s="12"/>
      <c r="E286" s="12"/>
      <c r="F286" s="12"/>
      <c r="G286" s="12"/>
      <c r="H286" s="12"/>
      <c r="I286" s="12" t="s">
        <v>641</v>
      </c>
      <c r="J286" s="12" t="s">
        <v>642</v>
      </c>
      <c r="K286" s="12" t="s">
        <v>164</v>
      </c>
      <c r="L286" s="13" t="s">
        <v>165</v>
      </c>
      <c r="M286" s="608" t="s">
        <v>128</v>
      </c>
      <c r="N286" s="147" t="s">
        <v>129</v>
      </c>
      <c r="O286" s="135" t="s">
        <v>130</v>
      </c>
      <c r="P286" s="12"/>
      <c r="Q286" s="12"/>
      <c r="R286" s="12"/>
      <c r="S286" s="12"/>
      <c r="T286" s="12"/>
      <c r="U286" s="12"/>
      <c r="V286" s="12" t="s">
        <v>166</v>
      </c>
      <c r="W286" s="12" t="s">
        <v>163</v>
      </c>
      <c r="X286" s="13" t="s">
        <v>165</v>
      </c>
      <c r="Y286" s="650" t="s">
        <v>128</v>
      </c>
      <c r="Z286" s="13" t="s">
        <v>129</v>
      </c>
      <c r="AA286" s="135" t="s">
        <v>130</v>
      </c>
      <c r="AB286" s="12"/>
      <c r="AC286" s="12"/>
      <c r="AD286" s="12"/>
      <c r="AE286" s="12"/>
      <c r="AF286" s="12"/>
      <c r="AG286" s="12" t="s">
        <v>166</v>
      </c>
      <c r="AH286" s="12" t="s">
        <v>163</v>
      </c>
      <c r="AI286" s="13" t="s">
        <v>165</v>
      </c>
      <c r="AJ286" s="650" t="s">
        <v>128</v>
      </c>
      <c r="AK286" s="13" t="s">
        <v>129</v>
      </c>
      <c r="AL286" s="135" t="s">
        <v>130</v>
      </c>
      <c r="AM286" s="13" t="s">
        <v>159</v>
      </c>
      <c r="AN286" s="12"/>
      <c r="AO286" s="227"/>
      <c r="AP286" s="349">
        <f>IF(AP285="yes",0.5,1)</f>
        <v>1</v>
      </c>
      <c r="AQ286" s="12"/>
      <c r="AR286" s="275"/>
      <c r="AS286" s="12"/>
    </row>
    <row r="287" spans="1:45" ht="13.5" customHeight="1" x14ac:dyDescent="0.25">
      <c r="A287" s="145"/>
      <c r="B287" s="12"/>
      <c r="C287" s="114"/>
      <c r="D287" s="12"/>
      <c r="E287" s="12"/>
      <c r="F287" s="12"/>
      <c r="G287" s="12"/>
      <c r="H287" s="12"/>
      <c r="I287" s="12">
        <f>G274</f>
        <v>12</v>
      </c>
      <c r="J287" s="125">
        <f>AO279</f>
        <v>9</v>
      </c>
      <c r="K287" s="125">
        <f>I287-J287</f>
        <v>3</v>
      </c>
      <c r="L287" s="123">
        <f>V287</f>
        <v>0</v>
      </c>
      <c r="M287" s="609">
        <f>IF(M289&lt;=0,0,ROUNDUP(M289,0))</f>
        <v>3</v>
      </c>
      <c r="N287" s="161">
        <f>'Rate Tables'!$P$17</f>
        <v>910</v>
      </c>
      <c r="O287" s="136">
        <f>(M287*N287)*F283*M283</f>
        <v>0</v>
      </c>
      <c r="P287" s="12"/>
      <c r="Q287" s="12"/>
      <c r="R287" s="12"/>
      <c r="S287" s="12"/>
      <c r="T287" s="12"/>
      <c r="U287" s="12"/>
      <c r="V287" s="12">
        <f>VLOOKUP((U283*V283),'Lookup Tables'!$E$38:$F$103,2,0)</f>
        <v>0</v>
      </c>
      <c r="W287" s="12">
        <f>K287-(M287*M283)</f>
        <v>3</v>
      </c>
      <c r="X287" s="119">
        <f>AG287</f>
        <v>0</v>
      </c>
      <c r="Y287" s="609">
        <f>IF(Y289&lt;=0,0,ROUNDUP(Y289,0))</f>
        <v>3</v>
      </c>
      <c r="Z287" s="129">
        <f>'Rate Tables'!$P$18</f>
        <v>910</v>
      </c>
      <c r="AA287" s="136">
        <f>Y287*Z287*F283*V283</f>
        <v>0</v>
      </c>
      <c r="AB287" s="12"/>
      <c r="AC287" s="12"/>
      <c r="AD287" s="12"/>
      <c r="AE287" s="12"/>
      <c r="AF287" s="12"/>
      <c r="AG287" s="12">
        <f>VLOOKUP(AH283,'Lookup Tables'!$E$38:$F$103,2,0)</f>
        <v>0</v>
      </c>
      <c r="AH287" s="125">
        <f>W287-(Y287*V283)</f>
        <v>3</v>
      </c>
      <c r="AI287" s="119">
        <v>0</v>
      </c>
      <c r="AJ287" s="609">
        <f>IF(AJ289&lt;=0,0,ROUNDUP(AJ289,0))</f>
        <v>3</v>
      </c>
      <c r="AK287" s="129">
        <f>'Rate Tables'!$P$19</f>
        <v>910</v>
      </c>
      <c r="AL287" s="136">
        <f>AJ287*AK287*F283*AI283</f>
        <v>0</v>
      </c>
      <c r="AM287" s="19">
        <f>VLOOKUP(B270,'Lookup Tables'!$AK$22:$AM$24,2,0)</f>
        <v>0</v>
      </c>
      <c r="AN287" s="12"/>
      <c r="AO287" s="307"/>
      <c r="AP287" s="358"/>
      <c r="AQ287" s="12"/>
      <c r="AR287" s="287"/>
      <c r="AS287" s="125"/>
    </row>
    <row r="288" spans="1:45" ht="13.5" customHeight="1" x14ac:dyDescent="0.25">
      <c r="A288" s="145"/>
      <c r="B288" s="12"/>
      <c r="C288" s="114"/>
      <c r="D288" s="12"/>
      <c r="E288" s="12"/>
      <c r="F288" s="12"/>
      <c r="G288" s="12"/>
      <c r="H288" s="12"/>
      <c r="I288" s="12">
        <f>G276</f>
        <v>12</v>
      </c>
      <c r="J288" s="125">
        <f>J287</f>
        <v>9</v>
      </c>
      <c r="K288" s="125">
        <f>I288-J288</f>
        <v>3</v>
      </c>
      <c r="L288" s="123">
        <f>V288</f>
        <v>0</v>
      </c>
      <c r="M288" s="609">
        <f>IF(M290&lt;=0,0,ROUNDUP(M290,0))</f>
        <v>3</v>
      </c>
      <c r="N288" s="161">
        <f>'Rate Tables'!$P$18</f>
        <v>910</v>
      </c>
      <c r="O288" s="136">
        <f>(M288*N288)*F285*M285</f>
        <v>0</v>
      </c>
      <c r="P288" s="12"/>
      <c r="Q288" s="12"/>
      <c r="R288" s="12"/>
      <c r="S288" s="12"/>
      <c r="T288" s="12"/>
      <c r="U288" s="12"/>
      <c r="V288" s="12">
        <f>VLOOKUP((U285*V285),'Lookup Tables'!$E$38:$F$103,2,0)</f>
        <v>0</v>
      </c>
      <c r="W288" s="12">
        <f>K288-(M288*M285)</f>
        <v>3</v>
      </c>
      <c r="X288" s="119">
        <f>AG288</f>
        <v>0</v>
      </c>
      <c r="Y288" s="609">
        <f>IF(Y290&lt;=0,0,ROUNDUP(Y290,0))</f>
        <v>3</v>
      </c>
      <c r="Z288" s="129">
        <f>'Rate Tables'!$P$19</f>
        <v>910</v>
      </c>
      <c r="AA288" s="136">
        <f>Y288*Z288*F285*V285</f>
        <v>0</v>
      </c>
      <c r="AB288" s="12"/>
      <c r="AC288" s="12"/>
      <c r="AD288" s="12"/>
      <c r="AE288" s="12"/>
      <c r="AF288" s="12"/>
      <c r="AG288" s="12">
        <f>VLOOKUP(AH285,'Lookup Tables'!$E$38:$F$103,2,0)</f>
        <v>0</v>
      </c>
      <c r="AH288" s="125">
        <f>W288-(Y288*V285)</f>
        <v>3</v>
      </c>
      <c r="AI288" s="119">
        <v>0</v>
      </c>
      <c r="AJ288" s="609">
        <f>IF(AJ290&lt;=0,0,ROUNDUP(AJ290,0))</f>
        <v>3</v>
      </c>
      <c r="AK288" s="129">
        <f>'Rate Tables'!$P$20</f>
        <v>928.2</v>
      </c>
      <c r="AL288" s="136">
        <f>AJ288*AK288*F285*AI285</f>
        <v>0</v>
      </c>
      <c r="AM288" s="19"/>
      <c r="AN288" s="12"/>
      <c r="AO288" s="307"/>
      <c r="AP288" s="349"/>
      <c r="AQ288" s="12"/>
      <c r="AR288" s="275"/>
      <c r="AS288" s="12"/>
    </row>
    <row r="289" spans="1:45" ht="13.5" customHeight="1" x14ac:dyDescent="0.25">
      <c r="A289" s="145"/>
      <c r="B289" s="12"/>
      <c r="C289" s="114"/>
      <c r="D289" s="12"/>
      <c r="E289" s="12"/>
      <c r="F289" s="12"/>
      <c r="G289" s="12" t="s">
        <v>584</v>
      </c>
      <c r="H289" s="12"/>
      <c r="I289" s="12"/>
      <c r="J289" s="12"/>
      <c r="K289" s="12"/>
      <c r="L289" s="123"/>
      <c r="M289" s="648">
        <f>K287-L287</f>
        <v>3</v>
      </c>
      <c r="N289" s="161"/>
      <c r="O289" s="125"/>
      <c r="P289" s="12"/>
      <c r="Q289" s="12"/>
      <c r="R289" s="12"/>
      <c r="S289" s="12"/>
      <c r="T289" s="12"/>
      <c r="U289" s="12"/>
      <c r="V289" s="12"/>
      <c r="W289" s="12"/>
      <c r="X289" s="119"/>
      <c r="Y289" s="651">
        <f>W287-X287</f>
        <v>3</v>
      </c>
      <c r="Z289" s="129"/>
      <c r="AA289" s="125"/>
      <c r="AB289" s="12"/>
      <c r="AC289" s="12"/>
      <c r="AD289" s="12"/>
      <c r="AE289" s="12"/>
      <c r="AF289" s="12"/>
      <c r="AG289" s="12"/>
      <c r="AH289" s="125"/>
      <c r="AI289" s="119"/>
      <c r="AJ289" s="651">
        <f>AH287-AI287</f>
        <v>3</v>
      </c>
      <c r="AK289" s="129"/>
      <c r="AL289" s="125"/>
      <c r="AM289" s="19"/>
      <c r="AN289" s="12"/>
      <c r="AO289" s="307"/>
      <c r="AP289" s="349"/>
      <c r="AQ289" s="12"/>
      <c r="AR289" s="275"/>
      <c r="AS289" s="12"/>
    </row>
    <row r="290" spans="1:45" ht="13.5" customHeight="1" x14ac:dyDescent="0.25">
      <c r="A290" s="145"/>
      <c r="B290" s="162"/>
      <c r="C290" s="115">
        <f>(B272*12)*2</f>
        <v>0</v>
      </c>
      <c r="D290" s="115"/>
      <c r="E290" s="126"/>
      <c r="F290" s="126"/>
      <c r="G290" s="12"/>
      <c r="H290" s="12"/>
      <c r="I290" s="12"/>
      <c r="J290" s="12"/>
      <c r="K290" s="12"/>
      <c r="L290" s="12"/>
      <c r="M290" s="649">
        <f>K288-L288</f>
        <v>3</v>
      </c>
      <c r="N290" s="12"/>
      <c r="O290" s="12"/>
      <c r="P290" s="12"/>
      <c r="Q290" s="12"/>
      <c r="R290" s="12"/>
      <c r="S290" s="12"/>
      <c r="T290" s="12"/>
      <c r="U290" s="12"/>
      <c r="V290" s="12"/>
      <c r="W290" s="12"/>
      <c r="X290" s="12"/>
      <c r="Y290" s="652">
        <f>W288-X288</f>
        <v>3</v>
      </c>
      <c r="Z290" s="12"/>
      <c r="AA290" s="12"/>
      <c r="AB290" s="12"/>
      <c r="AC290" s="12"/>
      <c r="AD290" s="12"/>
      <c r="AE290" s="12"/>
      <c r="AF290" s="12"/>
      <c r="AG290" s="12"/>
      <c r="AH290" s="12"/>
      <c r="AI290" s="12"/>
      <c r="AJ290" s="652">
        <f>AH288-AI288</f>
        <v>3</v>
      </c>
      <c r="AK290" s="12"/>
      <c r="AL290" s="12"/>
      <c r="AM290" s="12"/>
      <c r="AN290" s="12"/>
      <c r="AO290" s="306" t="s">
        <v>413</v>
      </c>
      <c r="AP290" s="348">
        <f>Personnel!G98</f>
        <v>0</v>
      </c>
      <c r="AQ290" s="276" t="s">
        <v>416</v>
      </c>
      <c r="AR290" s="285">
        <f>(M292+M294+W292+W294+AI292+AI294)*AM292</f>
        <v>0</v>
      </c>
      <c r="AS290" s="15"/>
    </row>
    <row r="291" spans="1:45" ht="13.5" customHeight="1" x14ac:dyDescent="0.25">
      <c r="A291" s="145"/>
      <c r="B291" s="12"/>
      <c r="C291" s="117" t="s">
        <v>30</v>
      </c>
      <c r="D291" s="117"/>
      <c r="E291" s="13">
        <v>0</v>
      </c>
      <c r="F291" s="13" t="s">
        <v>42</v>
      </c>
      <c r="G291" s="13" t="s">
        <v>41</v>
      </c>
      <c r="H291" s="65" t="s">
        <v>77</v>
      </c>
      <c r="I291" s="150" t="s">
        <v>50</v>
      </c>
      <c r="J291" s="13" t="s">
        <v>52</v>
      </c>
      <c r="K291" s="13" t="s">
        <v>35</v>
      </c>
      <c r="L291" s="13" t="s">
        <v>82</v>
      </c>
      <c r="M291" s="13" t="s">
        <v>31</v>
      </c>
      <c r="N291" s="13" t="s">
        <v>69</v>
      </c>
      <c r="O291" s="12"/>
      <c r="P291" s="13" t="s">
        <v>72</v>
      </c>
      <c r="Q291" s="65" t="s">
        <v>80</v>
      </c>
      <c r="R291" s="62" t="s">
        <v>81</v>
      </c>
      <c r="S291" s="65" t="s">
        <v>77</v>
      </c>
      <c r="T291" s="674" t="s">
        <v>107</v>
      </c>
      <c r="U291" s="13" t="s">
        <v>53</v>
      </c>
      <c r="V291" s="13" t="s">
        <v>82</v>
      </c>
      <c r="W291" s="13" t="s">
        <v>32</v>
      </c>
      <c r="X291" s="13" t="s">
        <v>69</v>
      </c>
      <c r="Y291" s="12"/>
      <c r="Z291" s="12"/>
      <c r="AA291" s="12"/>
      <c r="AB291" s="13" t="s">
        <v>72</v>
      </c>
      <c r="AC291" s="13" t="s">
        <v>80</v>
      </c>
      <c r="AD291" s="62" t="s">
        <v>81</v>
      </c>
      <c r="AE291" s="65" t="s">
        <v>77</v>
      </c>
      <c r="AF291" s="151" t="s">
        <v>107</v>
      </c>
      <c r="AG291" s="13" t="s">
        <v>78</v>
      </c>
      <c r="AH291" s="13" t="s">
        <v>82</v>
      </c>
      <c r="AI291" s="13" t="s">
        <v>33</v>
      </c>
      <c r="AJ291" s="13" t="s">
        <v>69</v>
      </c>
      <c r="AK291" s="12"/>
      <c r="AL291" s="12"/>
      <c r="AM291" s="13" t="s">
        <v>159</v>
      </c>
      <c r="AN291" s="12"/>
      <c r="AO291" s="227"/>
      <c r="AP291" s="12"/>
      <c r="AQ291" s="12"/>
      <c r="AR291" s="275"/>
      <c r="AS291" s="12"/>
    </row>
    <row r="292" spans="1:45" ht="13.5" customHeight="1" x14ac:dyDescent="0.25">
      <c r="A292" s="145"/>
      <c r="B292" s="12"/>
      <c r="C292" s="115"/>
      <c r="D292" s="115"/>
      <c r="E292" s="152">
        <f>AP290</f>
        <v>0</v>
      </c>
      <c r="F292" s="19">
        <f>IF($D$4=2022,1,0)</f>
        <v>1</v>
      </c>
      <c r="G292" s="178">
        <f>IF($B$298="Yes",$C$5,$I297)</f>
        <v>12</v>
      </c>
      <c r="H292" s="36">
        <f>VLOOKUP(H296,'Lookup Tables'!$A$22:$B$33,2,FALSE)</f>
        <v>3</v>
      </c>
      <c r="I292" s="192">
        <f>VLOOKUP($E$4,'Lookup Tables'!$AB$46:$AN$58,MATCH($H292,'Lookup Tables'!$AB$46:$AN$46),FALSE)</f>
        <v>12</v>
      </c>
      <c r="J292" s="19">
        <f>12-I292</f>
        <v>0</v>
      </c>
      <c r="K292" s="19">
        <f>IF(G292&lt;J292,G292,J292)</f>
        <v>0</v>
      </c>
      <c r="L292" s="195">
        <f>IF(12-I292&gt;=1,1,0)</f>
        <v>0</v>
      </c>
      <c r="M292" s="20">
        <f>((('Rate Tables'!$B114*$E292)*PersonCalcYr1!$K292)*L292)*$F292</f>
        <v>0</v>
      </c>
      <c r="N292" s="8">
        <f>G292-(J292*L292)</f>
        <v>12</v>
      </c>
      <c r="O292" s="12"/>
      <c r="P292" s="8">
        <f>IF(N292&lt;0,N292*0,1)*N292</f>
        <v>12</v>
      </c>
      <c r="Q292" s="120">
        <f>VLOOKUP($H296,'Lookup Tables'!$A$22:$B$33,2,FALSE)+(K292*L292)</f>
        <v>3</v>
      </c>
      <c r="R292" s="121" t="str">
        <f>VLOOKUP(Q292,'Lookup Tables'!$A$38:$B$151,2,FALSE)</f>
        <v>Sept</v>
      </c>
      <c r="S292" s="36">
        <f>VLOOKUP(R292,'Lookup Tables'!$A$22:$B$33,2,FALSE)</f>
        <v>3</v>
      </c>
      <c r="T292" s="672">
        <f>VLOOKUP($E$4,'Lookup Tables'!$AQ$46:$BC$58,MATCH(PersonCalcYr1!$S292,'Lookup Tables'!$AQ$46:$BC$46),FALSE)</f>
        <v>10</v>
      </c>
      <c r="U292" s="19">
        <f>IF(P292&lt;T292,P292,T292)</f>
        <v>10</v>
      </c>
      <c r="V292" s="119">
        <f>IF((U292)&lt;=0,0,1)</f>
        <v>1</v>
      </c>
      <c r="W292" s="20">
        <f>(('Rate Tables'!$C114*$E292)*PersonCalcYr1!$U292)*$V292*$F292</f>
        <v>0</v>
      </c>
      <c r="X292" s="8">
        <f>P292-(U292*V292)</f>
        <v>2</v>
      </c>
      <c r="Y292" s="12"/>
      <c r="Z292" s="12"/>
      <c r="AA292" s="12"/>
      <c r="AB292" s="19">
        <f>X292</f>
        <v>2</v>
      </c>
      <c r="AC292" s="123">
        <f>AC274</f>
        <v>13</v>
      </c>
      <c r="AD292" s="121" t="str">
        <f>VLOOKUP(AC292,'Lookup Tables'!$A$38:$B$151,2,FALSE)</f>
        <v>July</v>
      </c>
      <c r="AE292" s="36">
        <f>VLOOKUP(AD292,'Lookup Tables'!$A$22:$B$33,2,FALSE)</f>
        <v>1</v>
      </c>
      <c r="AF292" s="87">
        <f>VLOOKUP($AE292,'Lookup Tables'!$AC$3:$AW$16,MATCH(PersonCalcYr1!$AB292,'Lookup Tables'!$AC$3:$AW$3),FALSE)</f>
        <v>2</v>
      </c>
      <c r="AG292" s="19">
        <f>IF(AB292&lt;AF292,AB292,AF292)</f>
        <v>2</v>
      </c>
      <c r="AH292" s="119">
        <f>IF((AG292)&lt;=0,0,1)</f>
        <v>1</v>
      </c>
      <c r="AI292" s="20">
        <f>(('Rate Tables'!$D114*$E292)*PersonCalcYr1!AG292)*AH292*$F292</f>
        <v>0</v>
      </c>
      <c r="AJ292" s="8">
        <f>AB292-(AG292*AH292)</f>
        <v>0</v>
      </c>
      <c r="AK292" s="12"/>
      <c r="AL292" s="12"/>
      <c r="AM292" s="19">
        <f>VLOOKUP(B270,'Lookup Tables'!$AK$22:$AM$24,3,0)</f>
        <v>1</v>
      </c>
      <c r="AN292" s="12"/>
      <c r="AO292" s="227"/>
      <c r="AP292" s="12"/>
      <c r="AQ292" s="276" t="s">
        <v>188</v>
      </c>
      <c r="AR292" s="277">
        <f>AR290*'Rate Tables'!P$8</f>
        <v>0</v>
      </c>
      <c r="AS292" s="224"/>
    </row>
    <row r="293" spans="1:45" ht="13.5" customHeight="1" x14ac:dyDescent="0.25">
      <c r="A293" s="145"/>
      <c r="B293" s="12"/>
      <c r="C293" s="117" t="s">
        <v>597</v>
      </c>
      <c r="D293" s="117"/>
      <c r="E293" s="13">
        <v>0</v>
      </c>
      <c r="F293" s="13" t="s">
        <v>42</v>
      </c>
      <c r="G293" s="13" t="s">
        <v>41</v>
      </c>
      <c r="H293" s="65" t="s">
        <v>77</v>
      </c>
      <c r="I293" s="150" t="s">
        <v>51</v>
      </c>
      <c r="J293" s="13" t="s">
        <v>110</v>
      </c>
      <c r="K293" s="13" t="s">
        <v>53</v>
      </c>
      <c r="L293" s="13" t="s">
        <v>82</v>
      </c>
      <c r="M293" s="13" t="s">
        <v>32</v>
      </c>
      <c r="N293" s="13" t="s">
        <v>69</v>
      </c>
      <c r="O293" s="12"/>
      <c r="P293" s="13" t="s">
        <v>72</v>
      </c>
      <c r="Q293" s="65" t="s">
        <v>80</v>
      </c>
      <c r="R293" s="62" t="s">
        <v>81</v>
      </c>
      <c r="S293" s="65" t="s">
        <v>77</v>
      </c>
      <c r="T293" s="674" t="s">
        <v>107</v>
      </c>
      <c r="U293" s="13" t="s">
        <v>78</v>
      </c>
      <c r="V293" s="13" t="s">
        <v>82</v>
      </c>
      <c r="W293" s="13" t="s">
        <v>33</v>
      </c>
      <c r="X293" s="13" t="s">
        <v>69</v>
      </c>
      <c r="Y293" s="12"/>
      <c r="Z293" s="12"/>
      <c r="AA293" s="12"/>
      <c r="AB293" s="13" t="s">
        <v>72</v>
      </c>
      <c r="AC293" s="13" t="s">
        <v>80</v>
      </c>
      <c r="AD293" s="62" t="s">
        <v>81</v>
      </c>
      <c r="AE293" s="65" t="s">
        <v>77</v>
      </c>
      <c r="AF293" s="151" t="s">
        <v>107</v>
      </c>
      <c r="AG293" s="13" t="s">
        <v>79</v>
      </c>
      <c r="AH293" s="13" t="s">
        <v>82</v>
      </c>
      <c r="AI293" s="13" t="s">
        <v>34</v>
      </c>
      <c r="AJ293" s="13" t="s">
        <v>69</v>
      </c>
      <c r="AK293" s="12"/>
      <c r="AL293" s="12"/>
      <c r="AM293" s="13"/>
      <c r="AN293" s="12"/>
      <c r="AO293" s="311"/>
      <c r="AP293" s="349" t="s">
        <v>643</v>
      </c>
      <c r="AQ293" s="12"/>
      <c r="AR293" s="275"/>
      <c r="AS293" s="12"/>
    </row>
    <row r="294" spans="1:45" ht="13.5" customHeight="1" x14ac:dyDescent="0.25">
      <c r="A294" s="145"/>
      <c r="B294" s="12"/>
      <c r="C294" s="115"/>
      <c r="D294" s="115"/>
      <c r="E294" s="152">
        <f>AP290</f>
        <v>0</v>
      </c>
      <c r="F294" s="19">
        <f>IF($D$4=2023,1,0)</f>
        <v>0</v>
      </c>
      <c r="G294" s="178">
        <f>IF($B$298="Yes",$C$5,$I297)</f>
        <v>12</v>
      </c>
      <c r="H294" s="36">
        <f>VLOOKUP(H296,'Lookup Tables'!$A$22:$B$33,2,FALSE)</f>
        <v>3</v>
      </c>
      <c r="I294" s="192">
        <f>VLOOKUP($E$4,'Lookup Tables'!$AB$46:$AN$58,MATCH($H294,'Lookup Tables'!$AB$46:$AN$46),FALSE)</f>
        <v>12</v>
      </c>
      <c r="J294" s="19">
        <f>12-I294</f>
        <v>0</v>
      </c>
      <c r="K294" s="19">
        <f>IF(G294&lt;J294,G294,J294)</f>
        <v>0</v>
      </c>
      <c r="L294" s="195">
        <f>IF(12-I294&gt;=1,1,0)</f>
        <v>0</v>
      </c>
      <c r="M294" s="20">
        <f>((('Rate Tables'!$C114*$E294)*PersonCalcYr1!$K294)*L294)*$F294</f>
        <v>0</v>
      </c>
      <c r="N294" s="8">
        <f>G294-(J294*L294)</f>
        <v>12</v>
      </c>
      <c r="O294" s="12"/>
      <c r="P294" s="8">
        <f>IF(N294&lt;0,N294*0,1)*N294</f>
        <v>12</v>
      </c>
      <c r="Q294" s="120">
        <f>VLOOKUP($H296,'Lookup Tables'!$A$22:$B$33,2,FALSE)+(K294*L294)</f>
        <v>3</v>
      </c>
      <c r="R294" s="121" t="str">
        <f>VLOOKUP(Q294,'Lookup Tables'!$A$38:$B$151,2,FALSE)</f>
        <v>Sept</v>
      </c>
      <c r="S294" s="36">
        <f>VLOOKUP(R294,'Lookup Tables'!$A$22:$B$33,2,FALSE)</f>
        <v>3</v>
      </c>
      <c r="T294" s="672">
        <f>VLOOKUP($E$4,'Lookup Tables'!$AQ$46:$BC$58,MATCH(PersonCalcYr1!$S294,'Lookup Tables'!$AQ$46:$BC$46),FALSE)</f>
        <v>10</v>
      </c>
      <c r="U294" s="19">
        <f>IF(P294&lt;T294,P294,T294)</f>
        <v>10</v>
      </c>
      <c r="V294" s="119">
        <f>IF((U294)&lt;=0,0,1)</f>
        <v>1</v>
      </c>
      <c r="W294" s="20">
        <f>(('Rate Tables'!$D114*$E294)*PersonCalcYr1!$U294)*$V294*$F294</f>
        <v>0</v>
      </c>
      <c r="X294" s="8">
        <f>P294-(U294*V294)</f>
        <v>2</v>
      </c>
      <c r="Y294" s="12"/>
      <c r="Z294" s="12"/>
      <c r="AA294" s="12"/>
      <c r="AB294" s="19">
        <f>X294</f>
        <v>2</v>
      </c>
      <c r="AC294" s="123">
        <f>AC276</f>
        <v>13</v>
      </c>
      <c r="AD294" s="121" t="str">
        <f>VLOOKUP(AC294,'Lookup Tables'!$A$38:$B$151,2,FALSE)</f>
        <v>July</v>
      </c>
      <c r="AE294" s="36">
        <f>VLOOKUP(AD294,'Lookup Tables'!$A$22:$B$33,2,FALSE)</f>
        <v>1</v>
      </c>
      <c r="AF294" s="87">
        <f>VLOOKUP($AE294,'Lookup Tables'!$AC$3:$AW$16,MATCH(PersonCalcYr1!$AB294,'Lookup Tables'!$AC$3:$AW$3),FALSE)</f>
        <v>2</v>
      </c>
      <c r="AG294" s="19">
        <f>IF(AB294&lt;AF294,AB294,AF294)</f>
        <v>2</v>
      </c>
      <c r="AH294" s="119">
        <f>IF((AG294)&lt;=0,0,1)</f>
        <v>1</v>
      </c>
      <c r="AI294" s="20">
        <f>(('Rate Tables'!$E114*$E294)*PersonCalcYr1!AG294)*AH294*$F294</f>
        <v>0</v>
      </c>
      <c r="AJ294" s="8">
        <f>AB294-(AG294*AH294)</f>
        <v>0</v>
      </c>
      <c r="AK294" s="12"/>
      <c r="AL294" s="12"/>
      <c r="AM294" s="20"/>
      <c r="AN294" s="12"/>
      <c r="AO294" s="311"/>
      <c r="AP294" s="350" t="s">
        <v>644</v>
      </c>
      <c r="AQ294" s="276" t="s">
        <v>136</v>
      </c>
      <c r="AR294" s="286">
        <f>(((O296+O297+AA296+AA297+AL296+AL297)*AM296)*AR295)*AP296</f>
        <v>0</v>
      </c>
      <c r="AS294" s="12" t="s">
        <v>418</v>
      </c>
    </row>
    <row r="295" spans="1:45" ht="13.5" customHeight="1" x14ac:dyDescent="0.25">
      <c r="A295" s="145"/>
      <c r="B295" s="12" t="s">
        <v>127</v>
      </c>
      <c r="C295" s="12"/>
      <c r="D295" s="12"/>
      <c r="E295" s="12"/>
      <c r="F295" s="12"/>
      <c r="G295" s="12"/>
      <c r="H295" s="12"/>
      <c r="I295" s="12"/>
      <c r="J295" s="12"/>
      <c r="K295" s="12"/>
      <c r="L295" s="13"/>
      <c r="M295" s="13" t="s">
        <v>129</v>
      </c>
      <c r="N295" s="13" t="s">
        <v>128</v>
      </c>
      <c r="O295" s="153" t="s">
        <v>130</v>
      </c>
      <c r="P295" s="12"/>
      <c r="Q295" s="12"/>
      <c r="R295" s="12"/>
      <c r="S295" s="12"/>
      <c r="T295" s="12"/>
      <c r="U295" s="12"/>
      <c r="V295" s="12"/>
      <c r="W295" s="12"/>
      <c r="X295" s="12"/>
      <c r="Y295" s="13" t="s">
        <v>129</v>
      </c>
      <c r="Z295" s="13" t="s">
        <v>128</v>
      </c>
      <c r="AA295" s="153" t="s">
        <v>130</v>
      </c>
      <c r="AB295" s="12"/>
      <c r="AC295" s="12"/>
      <c r="AD295" s="12"/>
      <c r="AE295" s="12"/>
      <c r="AF295" s="12"/>
      <c r="AG295" s="12"/>
      <c r="AH295" s="12"/>
      <c r="AI295" s="12"/>
      <c r="AJ295" s="13" t="s">
        <v>129</v>
      </c>
      <c r="AK295" s="13" t="s">
        <v>128</v>
      </c>
      <c r="AL295" s="153" t="s">
        <v>130</v>
      </c>
      <c r="AM295" s="13" t="s">
        <v>159</v>
      </c>
      <c r="AN295" s="12"/>
      <c r="AO295" s="227"/>
      <c r="AP295" s="358" t="str">
        <f>IF(AP290="50% Sum","no",Personnel!G102)</f>
        <v>No</v>
      </c>
      <c r="AQ295" s="227" t="s">
        <v>582</v>
      </c>
      <c r="AR295" s="663">
        <f>IF(AR290&gt;0,1,0)</f>
        <v>0</v>
      </c>
      <c r="AS295" s="372">
        <f>VLOOKUP('F&amp;ARatesCalc'!$B$1,'F&amp;ARatesCalc'!$A$3:$B$5,2,FALSE)</f>
        <v>0.56999999999999995</v>
      </c>
    </row>
    <row r="296" spans="1:45" ht="13.5" customHeight="1" x14ac:dyDescent="0.25">
      <c r="A296" s="145"/>
      <c r="B296" s="12"/>
      <c r="C296" s="12"/>
      <c r="D296" s="12"/>
      <c r="E296" s="12"/>
      <c r="F296" s="12"/>
      <c r="G296" s="178" t="s">
        <v>430</v>
      </c>
      <c r="H296" s="178" t="str">
        <f>IF(B298="yes",$C$4,A300)</f>
        <v>Sept</v>
      </c>
      <c r="I296" s="12"/>
      <c r="J296" s="12"/>
      <c r="K296" s="12"/>
      <c r="L296" s="12"/>
      <c r="M296" s="129">
        <f>'Rate Tables'!$P$17</f>
        <v>910</v>
      </c>
      <c r="N296" s="146">
        <f>(K292*L292)*F292</f>
        <v>0</v>
      </c>
      <c r="O296" s="154">
        <f>M296*N296</f>
        <v>0</v>
      </c>
      <c r="P296" s="12"/>
      <c r="Q296" s="12"/>
      <c r="R296" s="12"/>
      <c r="S296" s="12"/>
      <c r="T296" s="12"/>
      <c r="U296" s="12"/>
      <c r="V296" s="12"/>
      <c r="W296" s="12"/>
      <c r="X296" s="12"/>
      <c r="Y296" s="129">
        <f>'Rate Tables'!$P$18</f>
        <v>910</v>
      </c>
      <c r="Z296" s="146">
        <f>U292*V292*F292</f>
        <v>10</v>
      </c>
      <c r="AA296" s="125">
        <f>Y296*Z296</f>
        <v>9100</v>
      </c>
      <c r="AB296" s="12"/>
      <c r="AC296" s="12"/>
      <c r="AD296" s="12"/>
      <c r="AE296" s="12"/>
      <c r="AF296" s="12"/>
      <c r="AG296" s="12"/>
      <c r="AH296" s="12"/>
      <c r="AI296" s="12"/>
      <c r="AJ296" s="129">
        <f>'Rate Tables'!$P$19</f>
        <v>910</v>
      </c>
      <c r="AK296" s="146">
        <f>AG292*AH292*F292</f>
        <v>2</v>
      </c>
      <c r="AL296" s="125">
        <f>AJ296*AK296</f>
        <v>1820</v>
      </c>
      <c r="AM296" s="19">
        <f>VLOOKUP(B270,'Lookup Tables'!$AK$22:$AM$24,3,0)</f>
        <v>1</v>
      </c>
      <c r="AN296" s="12"/>
      <c r="AO296" s="307"/>
      <c r="AP296" s="349">
        <f>IF(AP295="yes",0.5,1)</f>
        <v>1</v>
      </c>
      <c r="AQ296" s="12"/>
      <c r="AR296" s="275"/>
      <c r="AS296" s="12" t="s">
        <v>417</v>
      </c>
    </row>
    <row r="297" spans="1:45" ht="13.5" customHeight="1" x14ac:dyDescent="0.25">
      <c r="A297" s="145"/>
      <c r="B297" s="12"/>
      <c r="C297" s="12"/>
      <c r="D297" s="12"/>
      <c r="E297" s="12"/>
      <c r="F297" s="12"/>
      <c r="G297" s="491" t="s">
        <v>555</v>
      </c>
      <c r="H297" s="175">
        <f>IF(H300&lt;$C$5, H300,$C$5)</f>
        <v>12</v>
      </c>
      <c r="I297" s="178">
        <f>IF(B300&lt;=H300,B300,H300)</f>
        <v>0</v>
      </c>
      <c r="J297" s="12"/>
      <c r="K297" s="12"/>
      <c r="L297" s="12"/>
      <c r="M297" s="129">
        <f>'Rate Tables'!$P$18</f>
        <v>910</v>
      </c>
      <c r="N297" s="146">
        <f>K294*L294*F294</f>
        <v>0</v>
      </c>
      <c r="O297" s="154">
        <f>M297*N297</f>
        <v>0</v>
      </c>
      <c r="P297" s="12"/>
      <c r="Q297" s="12"/>
      <c r="R297" s="12"/>
      <c r="S297" s="12"/>
      <c r="T297" s="12"/>
      <c r="U297" s="12"/>
      <c r="V297" s="12"/>
      <c r="W297" s="12"/>
      <c r="X297" s="12"/>
      <c r="Y297" s="129">
        <f>'Rate Tables'!$P$19</f>
        <v>910</v>
      </c>
      <c r="Z297" s="146">
        <f>U294*V294*F294</f>
        <v>0</v>
      </c>
      <c r="AA297" s="125">
        <f>Y297*Z297</f>
        <v>0</v>
      </c>
      <c r="AB297" s="12"/>
      <c r="AC297" s="12"/>
      <c r="AD297" s="12"/>
      <c r="AE297" s="12"/>
      <c r="AF297" s="12"/>
      <c r="AG297" s="12"/>
      <c r="AH297" s="12"/>
      <c r="AI297" s="12"/>
      <c r="AJ297" s="129">
        <f>'Rate Tables'!$P$20</f>
        <v>928.2</v>
      </c>
      <c r="AK297" s="146">
        <f>AG294*AH294*F294</f>
        <v>0</v>
      </c>
      <c r="AL297" s="125">
        <f>AJ297*AK297</f>
        <v>0</v>
      </c>
      <c r="AM297" s="12" t="s">
        <v>244</v>
      </c>
      <c r="AN297" s="12"/>
      <c r="AO297" s="307"/>
      <c r="AP297" s="12"/>
      <c r="AQ297" s="12"/>
      <c r="AR297" s="275"/>
      <c r="AS297" s="12">
        <f>(AR298+AR299)*AS295</f>
        <v>0</v>
      </c>
    </row>
    <row r="298" spans="1:45" ht="13.5" customHeight="1" x14ac:dyDescent="0.25">
      <c r="A298" s="377" t="s">
        <v>431</v>
      </c>
      <c r="B298" s="375" t="str">
        <f>Personnel!E98</f>
        <v>YES</v>
      </c>
      <c r="C298" s="12"/>
      <c r="D298" s="12"/>
      <c r="E298" s="12"/>
      <c r="F298" s="12"/>
      <c r="G298" s="491" t="s">
        <v>559</v>
      </c>
      <c r="H298" s="12">
        <f>AO283</f>
        <v>0</v>
      </c>
      <c r="I298" s="12"/>
      <c r="J298" s="12"/>
      <c r="K298" s="12"/>
      <c r="L298" s="12"/>
      <c r="M298" s="12"/>
      <c r="N298" s="12"/>
      <c r="O298" s="155"/>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f>IF(AR298&gt;=1,1,0)</f>
        <v>0</v>
      </c>
      <c r="AN298" s="12"/>
      <c r="AO298" s="227"/>
      <c r="AP298" s="226"/>
      <c r="AQ298" s="278" t="s">
        <v>96</v>
      </c>
      <c r="AR298" s="277">
        <f>AR272+AR281+AR290</f>
        <v>0</v>
      </c>
      <c r="AS298" s="15"/>
    </row>
    <row r="299" spans="1:45" ht="13.5" customHeight="1" thickBot="1" x14ac:dyDescent="0.3">
      <c r="A299" s="296" t="s">
        <v>439</v>
      </c>
      <c r="B299" s="114" t="s">
        <v>427</v>
      </c>
      <c r="C299" s="12"/>
      <c r="D299" s="12"/>
      <c r="E299" s="12"/>
      <c r="F299" s="12"/>
      <c r="G299" s="491" t="s">
        <v>560</v>
      </c>
      <c r="H299" s="178">
        <f>VLOOKUP(H292,'Lookup Tables'!$L$62:$Y$74,MATCH(G292,'Lookup Tables'!$L$62:$Y$62,FALSE))</f>
        <v>65</v>
      </c>
      <c r="I299" s="12"/>
      <c r="J299" s="12"/>
      <c r="K299" s="12"/>
      <c r="L299" s="12"/>
      <c r="M299" s="12"/>
      <c r="N299" s="12"/>
      <c r="O299" s="155"/>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227"/>
      <c r="AP299" s="224"/>
      <c r="AQ299" s="278" t="s">
        <v>415</v>
      </c>
      <c r="AR299" s="277">
        <f>AR274+AR282+AR292</f>
        <v>0</v>
      </c>
      <c r="AS299" s="15"/>
    </row>
    <row r="300" spans="1:45" ht="13.5" customHeight="1" thickBot="1" x14ac:dyDescent="0.3">
      <c r="A300" s="380">
        <f>Personnel!E99</f>
        <v>0</v>
      </c>
      <c r="B300" s="273">
        <f>Personnel!E100</f>
        <v>0</v>
      </c>
      <c r="C300" s="12"/>
      <c r="D300" s="12"/>
      <c r="E300" s="12"/>
      <c r="F300" s="12"/>
      <c r="G300" s="12"/>
      <c r="H300" s="175">
        <f>VLOOKUP($E$4,'Lookup Tables'!$L$46:$AA$58,MATCH($H$274,'Lookup Tables'!$L$46:$X$46),FALSE)</f>
        <v>12</v>
      </c>
      <c r="I300" s="12"/>
      <c r="J300" s="12"/>
      <c r="K300" s="12"/>
      <c r="L300" s="12"/>
      <c r="M300" s="12"/>
      <c r="N300" s="12"/>
      <c r="O300" s="155"/>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227"/>
      <c r="AP300" s="224"/>
      <c r="AQ300" s="278" t="s">
        <v>185</v>
      </c>
      <c r="AR300" s="285">
        <f>(AR276+AR284+AR294)*AM298</f>
        <v>0</v>
      </c>
      <c r="AS300" s="373">
        <f>AR298+AR299+AR300+AS297</f>
        <v>0</v>
      </c>
    </row>
    <row r="301" spans="1:45" ht="6" customHeight="1" thickBot="1" x14ac:dyDescent="0.3">
      <c r="A301" s="148"/>
      <c r="B301" s="149"/>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49"/>
      <c r="AL301" s="149"/>
      <c r="AM301" s="149"/>
      <c r="AN301" s="149"/>
      <c r="AO301" s="280"/>
      <c r="AP301" s="149"/>
      <c r="AQ301" s="149"/>
      <c r="AR301" s="281"/>
      <c r="AS301" s="374"/>
    </row>
    <row r="302" spans="1:45" ht="17.25" customHeight="1" thickBot="1" x14ac:dyDescent="0.35">
      <c r="A302" s="264" t="s">
        <v>449</v>
      </c>
      <c r="B302" s="262"/>
      <c r="C302" s="262"/>
      <c r="D302" s="262"/>
      <c r="E302" s="262"/>
      <c r="F302" s="262"/>
      <c r="G302" s="262"/>
      <c r="H302" s="262"/>
      <c r="I302" s="262"/>
      <c r="J302" s="262"/>
      <c r="K302" s="262"/>
      <c r="L302" s="262"/>
      <c r="M302" s="262"/>
      <c r="N302" s="262"/>
      <c r="O302" s="262"/>
      <c r="P302" s="262"/>
      <c r="Q302" s="262"/>
      <c r="R302" s="262"/>
      <c r="S302" s="262"/>
      <c r="T302" s="262"/>
      <c r="U302" s="262"/>
      <c r="V302" s="262"/>
      <c r="W302" s="262"/>
      <c r="X302" s="262"/>
      <c r="Y302" s="262"/>
      <c r="Z302" s="262"/>
      <c r="AA302" s="262"/>
      <c r="AB302" s="262"/>
      <c r="AC302" s="262"/>
      <c r="AD302" s="262"/>
      <c r="AE302" s="262"/>
      <c r="AF302" s="262"/>
      <c r="AG302" s="262"/>
      <c r="AH302" s="262"/>
      <c r="AI302" s="262"/>
      <c r="AJ302" s="262"/>
      <c r="AK302" s="262"/>
      <c r="AL302" s="262"/>
      <c r="AM302" s="262"/>
      <c r="AN302" s="262"/>
      <c r="AO302" s="310"/>
      <c r="AP302" s="262"/>
      <c r="AQ302" s="262"/>
      <c r="AR302" s="262"/>
      <c r="AS302" s="262"/>
    </row>
    <row r="303" spans="1:45" x14ac:dyDescent="0.25">
      <c r="A303" s="257" t="s">
        <v>419</v>
      </c>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4"/>
      <c r="AL303" s="144"/>
      <c r="AM303" s="144"/>
      <c r="AN303" s="144"/>
      <c r="AO303" s="282"/>
      <c r="AP303" s="144"/>
      <c r="AQ303" s="144"/>
      <c r="AR303" s="283"/>
      <c r="AS303" s="12" t="s">
        <v>418</v>
      </c>
    </row>
    <row r="304" spans="1:45" ht="15.75" thickBot="1" x14ac:dyDescent="0.3">
      <c r="A304" s="377" t="s">
        <v>515</v>
      </c>
      <c r="B304" s="155" t="s">
        <v>420</v>
      </c>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306" t="s">
        <v>421</v>
      </c>
      <c r="AP304" s="401">
        <f>Personnel!F107</f>
        <v>0</v>
      </c>
      <c r="AQ304" s="278" t="s">
        <v>422</v>
      </c>
      <c r="AR304" s="277">
        <f>A305*B305*AP304</f>
        <v>0</v>
      </c>
      <c r="AS304" s="372">
        <f>VLOOKUP('F&amp;ARatesCalc'!$B$1,'F&amp;ARatesCalc'!$A$3:$C$5,3,FALSE)</f>
        <v>1.57</v>
      </c>
    </row>
    <row r="305" spans="1:45" ht="15.75" thickBot="1" x14ac:dyDescent="0.3">
      <c r="A305" s="378">
        <f>Personnel!D106</f>
        <v>0</v>
      </c>
      <c r="B305" s="376">
        <f>Personnel!D107</f>
        <v>0</v>
      </c>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227"/>
      <c r="AP305" s="12"/>
      <c r="AQ305" s="278" t="s">
        <v>423</v>
      </c>
      <c r="AR305" s="277">
        <f>AR304*'Rate Tables'!$P$7</f>
        <v>0</v>
      </c>
      <c r="AS305" s="379">
        <f>(AR304+AR305)*AS304</f>
        <v>0</v>
      </c>
    </row>
    <row r="306" spans="1:45" ht="5.25" customHeight="1" thickBot="1" x14ac:dyDescent="0.3">
      <c r="A306" s="148"/>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49"/>
      <c r="AL306" s="149"/>
      <c r="AM306" s="149"/>
      <c r="AN306" s="149"/>
      <c r="AO306" s="280"/>
      <c r="AP306" s="149"/>
      <c r="AQ306" s="149"/>
      <c r="AR306" s="281"/>
      <c r="AS306" s="374"/>
    </row>
    <row r="307" spans="1:45" x14ac:dyDescent="0.25">
      <c r="A307" s="257" t="s">
        <v>424</v>
      </c>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282"/>
      <c r="AP307" s="144"/>
      <c r="AQ307" s="144"/>
      <c r="AR307" s="283"/>
      <c r="AS307" s="12" t="s">
        <v>418</v>
      </c>
    </row>
    <row r="308" spans="1:45" ht="15.75" thickBot="1" x14ac:dyDescent="0.3">
      <c r="A308" s="377" t="s">
        <v>515</v>
      </c>
      <c r="B308" s="155" t="s">
        <v>420</v>
      </c>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306" t="s">
        <v>421</v>
      </c>
      <c r="AP308" s="401">
        <f>Personnel!F111</f>
        <v>0</v>
      </c>
      <c r="AQ308" s="278" t="s">
        <v>422</v>
      </c>
      <c r="AR308" s="277">
        <f>A309*B309*AP308</f>
        <v>0</v>
      </c>
      <c r="AS308" s="372">
        <f>VLOOKUP('F&amp;ARatesCalc'!$B$1,'F&amp;ARatesCalc'!$A$3:$C$5,3,FALSE)</f>
        <v>1.57</v>
      </c>
    </row>
    <row r="309" spans="1:45" ht="15.75" thickBot="1" x14ac:dyDescent="0.3">
      <c r="A309" s="378">
        <f>Personnel!D110</f>
        <v>0</v>
      </c>
      <c r="B309" s="376">
        <f>Personnel!D111</f>
        <v>0</v>
      </c>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227"/>
      <c r="AP309" s="12"/>
      <c r="AQ309" s="278" t="s">
        <v>423</v>
      </c>
      <c r="AR309" s="277">
        <f>AR308*'Rate Tables'!$P$7</f>
        <v>0</v>
      </c>
      <c r="AS309" s="379">
        <f>(AR308+AR309)*AS308</f>
        <v>0</v>
      </c>
    </row>
    <row r="310" spans="1:45" ht="5.25" customHeight="1" thickBot="1" x14ac:dyDescent="0.3">
      <c r="A310" s="148"/>
      <c r="B310" s="149"/>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49"/>
      <c r="AL310" s="149"/>
      <c r="AM310" s="149"/>
      <c r="AN310" s="149"/>
      <c r="AO310" s="280"/>
      <c r="AP310" s="149"/>
      <c r="AQ310" s="149"/>
      <c r="AR310" s="281"/>
      <c r="AS310" s="374"/>
    </row>
    <row r="311" spans="1:45" x14ac:dyDescent="0.25">
      <c r="A311" s="257" t="s">
        <v>425</v>
      </c>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282"/>
      <c r="AP311" s="144"/>
      <c r="AQ311" s="144"/>
      <c r="AR311" s="283"/>
      <c r="AS311" s="12" t="s">
        <v>418</v>
      </c>
    </row>
    <row r="312" spans="1:45" ht="15.75" thickBot="1" x14ac:dyDescent="0.3">
      <c r="A312" s="377" t="s">
        <v>515</v>
      </c>
      <c r="B312" s="155" t="s">
        <v>420</v>
      </c>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306" t="s">
        <v>421</v>
      </c>
      <c r="AP312" s="401">
        <f>Personnel!F115</f>
        <v>0</v>
      </c>
      <c r="AQ312" s="278" t="s">
        <v>422</v>
      </c>
      <c r="AR312" s="277">
        <f>A313*B313*AP312</f>
        <v>0</v>
      </c>
      <c r="AS312" s="372">
        <f>VLOOKUP('F&amp;ARatesCalc'!$B$1,'F&amp;ARatesCalc'!$A$3:$C$5,3,FALSE)</f>
        <v>1.57</v>
      </c>
    </row>
    <row r="313" spans="1:45" ht="15.75" thickBot="1" x14ac:dyDescent="0.3">
      <c r="A313" s="378">
        <f>Personnel!D114</f>
        <v>0</v>
      </c>
      <c r="B313" s="376">
        <f>Personnel!D115</f>
        <v>0</v>
      </c>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227"/>
      <c r="AP313" s="12"/>
      <c r="AQ313" s="278" t="s">
        <v>423</v>
      </c>
      <c r="AR313" s="277">
        <f>AR312*'Rate Tables'!$P$7</f>
        <v>0</v>
      </c>
      <c r="AS313" s="379">
        <f>(AR312+AR313)*AS312</f>
        <v>0</v>
      </c>
    </row>
    <row r="314" spans="1:45" ht="5.25" customHeight="1" thickBot="1" x14ac:dyDescent="0.3">
      <c r="A314" s="148"/>
      <c r="B314" s="149"/>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c r="AL314" s="149"/>
      <c r="AM314" s="149"/>
      <c r="AN314" s="149"/>
      <c r="AO314" s="280"/>
      <c r="AP314" s="149"/>
      <c r="AQ314" s="149"/>
      <c r="AR314" s="281"/>
      <c r="AS314" s="374"/>
    </row>
  </sheetData>
  <sheetProtection algorithmName="SHA-512" hashValue="lOjI8VJdHYaPZgfQERunJ5MsDENqLNUOKWK8NY1G46bEdW0sD62zaGmDweowyF8jKdUzmG68JulXDt4X5ZS1Nw==" saltValue="flCLLJ6FEuUIj7kd6Yka0w==" spinCount="100000" sheet="1" objects="1" scenarios="1"/>
  <dataConsolidate/>
  <mergeCells count="8">
    <mergeCell ref="AO212:AO213"/>
    <mergeCell ref="AO244:AO245"/>
    <mergeCell ref="AO276:AO277"/>
    <mergeCell ref="A1:D1"/>
    <mergeCell ref="A2:C2"/>
    <mergeCell ref="AM1:AR2"/>
    <mergeCell ref="AO148:AO149"/>
    <mergeCell ref="AO180:AO181"/>
  </mergeCells>
  <dataValidations xWindow="354" yWindow="648" count="8">
    <dataValidation type="list" allowBlank="1" showInputMessage="1" showErrorMessage="1" sqref="C4 A38" xr:uid="{00000000-0002-0000-0400-000000000000}">
      <formula1>"Jan, Feb, Mar, Apr, May, June, July, Aug, Sept, Oct, Nov, Dec"</formula1>
    </dataValidation>
    <dataValidation type="list" allowBlank="1" showInputMessage="1" showErrorMessage="1" sqref="D4" xr:uid="{00000000-0002-0000-0400-000001000000}">
      <formula1>"2021, 2022"</formula1>
    </dataValidation>
    <dataValidation type="list" allowBlank="1" showInputMessage="1" showErrorMessage="1" sqref="B142 B174 B206 B238 B270" xr:uid="{00000000-0002-0000-0400-000002000000}">
      <formula1>"9 Month, 12 Month"</formula1>
    </dataValidation>
    <dataValidation type="whole" operator="lessThan" allowBlank="1" showInputMessage="1" showErrorMessage="1" errorTitle="Summer Effort Exceeds Limit" error="Summer Effort cannot exceed 65 days._x000a_" sqref="AP15 AP31 AP47 AP79 AP63" xr:uid="{00000000-0002-0000-0400-000003000000}">
      <formula1>66</formula1>
    </dataValidation>
    <dataValidation type="whole" operator="lessThan" allowBlank="1" showInputMessage="1" showErrorMessage="1" errorTitle="Cannot exceed 11 months" error="If starting after the start month of the project, months paid for this person cannot exceed 11 and shoul dnot extend past end month of project." sqref="B38" xr:uid="{00000000-0002-0000-0400-000004000000}">
      <formula1>12</formula1>
    </dataValidation>
    <dataValidation type="whole" operator="lessThan" allowBlank="1" showErrorMessage="1" errorTitle="Cannot exceed 11 months" error="If starting after the start month of the project, months paid for this person cannot exceed 11 and should not extend past end month of project._x000a_" promptTitle="Cannot exceed 11 months" prompt="If starting after the start month of the project, months paid cannot exceed 11 and should not extend past end month of project._x000a_" sqref="B22" xr:uid="{00000000-0002-0000-0400-000005000000}">
      <formula1>C5</formula1>
    </dataValidation>
    <dataValidation type="whole" operator="lessThan" allowBlank="1" showInputMessage="1" showErrorMessage="1" errorTitle="Cannot exceed 11 months" error="If starting after the start month of the project, months paid jfor this person cannot exceed 11 and should not extend past end month of project." sqref="B54" xr:uid="{00000000-0002-0000-0400-000006000000}">
      <formula1>12</formula1>
    </dataValidation>
    <dataValidation type="whole" operator="lessThan" allowBlank="1" showInputMessage="1" showErrorMessage="1" errorTitle="Cannot exceed 11 months" error="If starting after the start month of the project, months paid for this person cannot exceed 11 and should not extend past end month of project." sqref="B70 B98 B86 B108 B118 B128 B138 B172 B204 B236 B268 B300" xr:uid="{00000000-0002-0000-0400-000007000000}">
      <formula1>12</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xWindow="354" yWindow="648" count="3">
        <x14:dataValidation type="list" allowBlank="1" showInputMessage="1" showErrorMessage="1" xr:uid="{00000000-0002-0000-0400-000008000000}">
          <x14:formula1>
            <xm:f>'Lookup Tables'!$AF$22:$AF$24</xm:f>
          </x14:formula1>
          <xm:sqref>AP153</xm:sqref>
        </x14:dataValidation>
        <x14:dataValidation type="list" allowBlank="1" showInputMessage="1" showErrorMessage="1" xr:uid="{00000000-0002-0000-0400-000009000000}">
          <x14:formula1>
            <xm:f>'Lookup Tables'!$AK$28:$AK$29</xm:f>
          </x14:formula1>
          <xm:sqref>B15 B31 B47 B63 B79 B96 B106 B116 B126 B136 B170 B202 B234 B266 B298</xm:sqref>
        </x14:dataValidation>
        <x14:dataValidation type="list" showInputMessage="1" showErrorMessage="1" xr:uid="{00000000-0002-0000-0400-00000A000000}">
          <x14:formula1>
            <xm:f>'Rate Tables'!$O$2:$O$7</xm:f>
          </x14:formula1>
          <xm:sqref>B91 B73 B57 B41 B25 B131 B121 B111 B101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BG396"/>
  <sheetViews>
    <sheetView zoomScale="80" zoomScaleNormal="80" workbookViewId="0">
      <selection activeCell="I4" sqref="I4"/>
    </sheetView>
  </sheetViews>
  <sheetFormatPr defaultRowHeight="15" x14ac:dyDescent="0.25"/>
  <cols>
    <col min="1" max="1" width="23.28515625" style="11" customWidth="1"/>
    <col min="2" max="2" width="24.42578125" style="11" bestFit="1" customWidth="1"/>
    <col min="3" max="3" width="15.28515625" style="11" bestFit="1" customWidth="1"/>
    <col min="4" max="4" width="6.140625" style="11" customWidth="1"/>
    <col min="5" max="5" width="9.7109375" style="11" customWidth="1"/>
    <col min="6" max="6" width="6.85546875" style="11" customWidth="1"/>
    <col min="7" max="7" width="11.85546875" style="11" customWidth="1"/>
    <col min="8" max="8" width="23" style="11" customWidth="1"/>
    <col min="9" max="9" width="15" style="11" customWidth="1"/>
    <col min="10" max="10" width="14.85546875" style="11" customWidth="1"/>
    <col min="11" max="11" width="17.28515625" style="11" customWidth="1"/>
    <col min="12" max="12" width="13.42578125" style="11" customWidth="1"/>
    <col min="13" max="13" width="17.28515625" style="11" customWidth="1"/>
    <col min="14" max="14" width="12.85546875" style="11" customWidth="1"/>
    <col min="15" max="15" width="13.7109375" style="11" customWidth="1"/>
    <col min="16" max="16" width="10.42578125" style="11" customWidth="1"/>
    <col min="17" max="17" width="21.28515625" style="11" customWidth="1"/>
    <col min="18" max="18" width="18" style="11" customWidth="1"/>
    <col min="19" max="19" width="11.28515625" style="11" customWidth="1"/>
    <col min="20" max="20" width="17.7109375" style="11" customWidth="1"/>
    <col min="21" max="21" width="14.140625" style="11" customWidth="1"/>
    <col min="22" max="22" width="17.7109375" style="11" customWidth="1"/>
    <col min="23" max="23" width="13.7109375" style="11" customWidth="1"/>
    <col min="24" max="24" width="16.140625" style="11" customWidth="1"/>
    <col min="25" max="25" width="13" style="11" customWidth="1"/>
    <col min="26" max="26" width="14.7109375" style="11" customWidth="1"/>
    <col min="27" max="27" width="13.28515625" style="11" customWidth="1"/>
    <col min="28" max="28" width="18" style="11" customWidth="1"/>
    <col min="29" max="29" width="11.85546875" style="11" customWidth="1"/>
    <col min="30" max="30" width="13" style="11" customWidth="1"/>
    <col min="31" max="31" width="13.28515625" style="11" customWidth="1"/>
    <col min="32" max="32" width="14.140625" style="11" customWidth="1"/>
    <col min="33" max="33" width="18" style="11" customWidth="1"/>
    <col min="34" max="34" width="13.7109375" style="11" customWidth="1"/>
    <col min="35" max="35" width="16.140625" style="11" customWidth="1"/>
    <col min="36" max="36" width="14.7109375" style="11" customWidth="1"/>
    <col min="37" max="38" width="13.28515625" style="11" customWidth="1"/>
    <col min="39" max="51" width="12.140625" style="11" customWidth="1"/>
    <col min="52" max="52" width="3.85546875" style="11" customWidth="1"/>
    <col min="53" max="53" width="13.5703125" style="304" customWidth="1"/>
    <col min="54" max="54" width="10" style="11" customWidth="1"/>
    <col min="55" max="55" width="15.5703125" style="11" customWidth="1"/>
    <col min="56" max="56" width="16" style="11" bestFit="1" customWidth="1"/>
    <col min="57" max="57" width="15.85546875" style="11" customWidth="1"/>
    <col min="58" max="58" width="10.28515625" style="11" bestFit="1" customWidth="1"/>
    <col min="59" max="59" width="104.85546875" style="11" customWidth="1"/>
    <col min="60" max="16384" width="9.140625" style="11"/>
  </cols>
  <sheetData>
    <row r="1" spans="1:59" ht="18.75" customHeight="1" x14ac:dyDescent="0.35">
      <c r="A1" s="1200" t="s">
        <v>243</v>
      </c>
      <c r="B1" s="1200"/>
      <c r="C1" s="1200"/>
      <c r="D1" s="1200"/>
      <c r="AM1" s="1202"/>
      <c r="AN1" s="1202"/>
      <c r="AO1" s="1202"/>
      <c r="AP1" s="1202"/>
      <c r="AQ1" s="1202"/>
      <c r="AR1" s="1202"/>
      <c r="AS1" s="1202"/>
      <c r="AT1" s="1202"/>
      <c r="AU1" s="1202"/>
      <c r="AV1" s="1202"/>
      <c r="AW1" s="1202"/>
      <c r="AX1" s="1202"/>
      <c r="AY1" s="1202"/>
      <c r="AZ1" s="1202"/>
      <c r="BA1" s="1202"/>
      <c r="BB1" s="1202"/>
      <c r="BC1" s="1202"/>
      <c r="BD1" s="1202"/>
      <c r="BE1" s="688"/>
    </row>
    <row r="2" spans="1:59" ht="18" customHeight="1" x14ac:dyDescent="0.25">
      <c r="A2" s="1201" t="s">
        <v>242</v>
      </c>
      <c r="B2" s="1201"/>
      <c r="C2" s="1201"/>
      <c r="D2" s="174"/>
      <c r="E2" s="16"/>
      <c r="AM2" s="1202"/>
      <c r="AN2" s="1202"/>
      <c r="AO2" s="1202"/>
      <c r="AP2" s="1202"/>
      <c r="AQ2" s="1202"/>
      <c r="AR2" s="1202"/>
      <c r="AS2" s="1202"/>
      <c r="AT2" s="1202"/>
      <c r="AU2" s="1202"/>
      <c r="AV2" s="1202"/>
      <c r="AW2" s="1202"/>
      <c r="AX2" s="1202"/>
      <c r="AY2" s="1202"/>
      <c r="AZ2" s="1202"/>
      <c r="BA2" s="1202"/>
      <c r="BB2" s="1202"/>
      <c r="BC2" s="1202"/>
      <c r="BD2" s="1202"/>
      <c r="BE2" s="688"/>
    </row>
    <row r="3" spans="1:59" ht="13.5" customHeight="1" thickBot="1" x14ac:dyDescent="0.3">
      <c r="B3" s="288"/>
      <c r="C3" s="288" t="s">
        <v>14</v>
      </c>
      <c r="D3" s="173" t="s">
        <v>15</v>
      </c>
      <c r="E3" s="175"/>
      <c r="F3" s="689" t="s">
        <v>588</v>
      </c>
      <c r="G3" s="175"/>
      <c r="H3" s="175" t="s">
        <v>15</v>
      </c>
      <c r="J3" s="175" t="s">
        <v>640</v>
      </c>
      <c r="K3" s="175"/>
      <c r="L3" s="175"/>
      <c r="M3" s="175"/>
      <c r="N3" s="175"/>
      <c r="O3" s="175"/>
      <c r="P3" s="17"/>
      <c r="Q3" s="17"/>
      <c r="R3" s="17"/>
      <c r="S3" s="17"/>
      <c r="T3" s="17"/>
      <c r="U3" s="17"/>
      <c r="V3" s="17"/>
      <c r="W3" s="17"/>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row>
    <row r="4" spans="1:59" ht="13.5" customHeight="1" thickBot="1" x14ac:dyDescent="0.3">
      <c r="B4" s="292" t="s">
        <v>17</v>
      </c>
      <c r="C4" s="692" t="str">
        <f>VLOOKUP(G5,'Lookup Tables'!A37:B151,2,FALSE)</f>
        <v>Sept</v>
      </c>
      <c r="D4" s="693">
        <f>I5</f>
        <v>2023</v>
      </c>
      <c r="E4" s="175">
        <f>VLOOKUP($C4,'Lookup Tables'!$A$22:$B$33,2,FALSE)</f>
        <v>3</v>
      </c>
      <c r="F4" s="689" t="s">
        <v>589</v>
      </c>
      <c r="G4" s="175">
        <f>PersonCalcYr1!E4</f>
        <v>3</v>
      </c>
      <c r="H4" s="175">
        <f>VLOOKUP(PersonCalcYr1!C4,'Lookup Tables'!E107:O119,MATCH(PersonCalcYr1!D4,'Lookup Tables'!E107:O107),FALSE)</f>
        <v>21</v>
      </c>
      <c r="I4" s="175">
        <f>VLOOKUP(H4,'Lookup Tables'!$A$37:$C$151,3,FALSE)</f>
        <v>2022</v>
      </c>
      <c r="J4" s="175">
        <f>G5-1</f>
        <v>14</v>
      </c>
      <c r="K4" s="116" t="str">
        <f>VLOOKUP(J4,'Lookup Tables'!A37:B151,2,FALSE)</f>
        <v>Aug</v>
      </c>
      <c r="L4" s="175">
        <f>H4+PersonCalcYr1!C5-1</f>
        <v>32</v>
      </c>
      <c r="M4" s="175">
        <f>VLOOKUP(L4,'Lookup Tables'!$A$37:$C$151,3,FALSE)</f>
        <v>2023</v>
      </c>
      <c r="N4" s="175">
        <f>VLOOKUP(K4,'Lookup Tables'!$AK$32:$AL$43,2,FALSE)</f>
        <v>31</v>
      </c>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row>
    <row r="5" spans="1:59" ht="13.5" customHeight="1" x14ac:dyDescent="0.25">
      <c r="B5" s="270" t="s">
        <v>587</v>
      </c>
      <c r="C5" s="273">
        <f>Personnel!Q4</f>
        <v>12</v>
      </c>
      <c r="D5" s="177"/>
      <c r="E5" s="177"/>
      <c r="F5" s="690" t="s">
        <v>590</v>
      </c>
      <c r="G5" s="175">
        <f>G4+PersonCalcYr1!C5</f>
        <v>15</v>
      </c>
      <c r="H5" s="175">
        <f>PersonCalcYr1!C5+H4</f>
        <v>33</v>
      </c>
      <c r="I5" s="175">
        <f>VLOOKUP(H5,'Lookup Tables'!$A$37:$C$151,3,FALSE)</f>
        <v>2023</v>
      </c>
      <c r="J5" s="175">
        <f>G6-1</f>
        <v>26</v>
      </c>
      <c r="K5" s="116" t="str">
        <f>VLOOKUP(J5,'Lookup Tables'!A37:B151,2,FALSE)</f>
        <v>Aug</v>
      </c>
      <c r="L5" s="175">
        <f>H5+C5-1</f>
        <v>44</v>
      </c>
      <c r="M5" s="175">
        <f>VLOOKUP(L5,'Lookup Tables'!$A$37:$C$151,3,FALSE)</f>
        <v>2024</v>
      </c>
      <c r="N5" s="175">
        <f>VLOOKUP(K5,'Lookup Tables'!$AK$32:$AL$43,2,FALSE)</f>
        <v>31</v>
      </c>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row>
    <row r="6" spans="1:59" ht="13.5" customHeight="1" x14ac:dyDescent="0.25">
      <c r="B6" s="270"/>
      <c r="C6" s="270"/>
      <c r="D6" s="177"/>
      <c r="E6" s="177"/>
      <c r="F6" s="690" t="s">
        <v>639</v>
      </c>
      <c r="G6" s="175">
        <f>G5+PersonCalcYr2!C5</f>
        <v>27</v>
      </c>
      <c r="H6" s="175">
        <f>PersonCalcYr2!C5+H5</f>
        <v>45</v>
      </c>
      <c r="I6" s="175">
        <f>VLOOKUP(H6,'Lookup Tables'!$A$37:$C$151,3,FALSE)</f>
        <v>2024</v>
      </c>
      <c r="J6" s="175">
        <f>G6+PersonCalcYr3!C5-1</f>
        <v>38</v>
      </c>
      <c r="K6" s="116" t="str">
        <f>VLOOKUP(J6,'Lookup Tables'!A37:B151,2,FALSE)</f>
        <v>Aug</v>
      </c>
      <c r="L6" s="175">
        <f>H6+PersonCalcYr3!C5-1</f>
        <v>56</v>
      </c>
      <c r="M6" s="175">
        <f>VLOOKUP(L6,'Lookup Tables'!$A$37:$C$151,3,FALSE)</f>
        <v>2025</v>
      </c>
      <c r="N6" s="175">
        <f>VLOOKUP(K6,'Lookup Tables'!$AK$32:$AL$43,2,FALSE)</f>
        <v>31</v>
      </c>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row>
    <row r="7" spans="1:59" ht="30" customHeight="1" x14ac:dyDescent="0.3">
      <c r="A7" s="260" t="s">
        <v>340</v>
      </c>
      <c r="B7" s="293"/>
      <c r="C7" s="290"/>
      <c r="D7" s="261"/>
      <c r="E7" s="261"/>
      <c r="F7" s="261"/>
      <c r="G7" s="261"/>
      <c r="H7" s="261"/>
      <c r="I7" s="261"/>
      <c r="J7" s="261"/>
      <c r="K7" s="261"/>
      <c r="L7" s="261"/>
      <c r="M7" s="261"/>
      <c r="N7" s="261"/>
      <c r="O7" s="261"/>
      <c r="P7" s="261"/>
      <c r="Q7" s="261"/>
      <c r="R7" s="261"/>
      <c r="S7" s="261"/>
      <c r="T7" s="261"/>
      <c r="U7" s="610"/>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305"/>
      <c r="BB7" s="262"/>
      <c r="BC7" s="262"/>
      <c r="BD7" s="262"/>
      <c r="BE7" s="371" t="s">
        <v>410</v>
      </c>
      <c r="BG7" s="313"/>
    </row>
    <row r="8" spans="1:59" ht="13.5" customHeight="1" x14ac:dyDescent="0.25">
      <c r="A8" s="296" t="s">
        <v>174</v>
      </c>
      <c r="B8" s="162" t="s">
        <v>335</v>
      </c>
      <c r="C8" s="259" t="s">
        <v>605</v>
      </c>
      <c r="D8" s="178"/>
      <c r="E8" s="178"/>
      <c r="F8" s="178"/>
      <c r="G8" s="178"/>
      <c r="H8" s="178"/>
      <c r="I8" s="178"/>
      <c r="J8" s="178"/>
      <c r="K8" s="178"/>
      <c r="L8" s="178"/>
      <c r="M8" s="178"/>
      <c r="N8" s="493">
        <v>44013</v>
      </c>
      <c r="O8" s="694">
        <v>44377</v>
      </c>
      <c r="P8" s="178"/>
      <c r="Q8" s="178"/>
      <c r="R8" s="178"/>
      <c r="S8" s="178"/>
      <c r="T8" s="178"/>
      <c r="U8" s="178"/>
      <c r="V8" s="178"/>
      <c r="W8" s="178"/>
      <c r="X8" s="178"/>
      <c r="Y8" s="178"/>
      <c r="Z8" s="493">
        <v>44378</v>
      </c>
      <c r="AA8" s="694">
        <v>44742</v>
      </c>
      <c r="AB8" s="178"/>
      <c r="AC8" s="178"/>
      <c r="AD8" s="178"/>
      <c r="AE8" s="178"/>
      <c r="AF8" s="178"/>
      <c r="AG8" s="178"/>
      <c r="AH8" s="178"/>
      <c r="AI8" s="178"/>
      <c r="AJ8" s="178"/>
      <c r="AK8" s="493">
        <v>44743</v>
      </c>
      <c r="AL8" s="694">
        <v>45107</v>
      </c>
      <c r="AM8" s="178"/>
      <c r="AN8" s="178"/>
      <c r="AO8" s="178"/>
      <c r="AP8" s="178"/>
      <c r="AQ8" s="178"/>
      <c r="AR8" s="178"/>
      <c r="AS8" s="178"/>
      <c r="AT8" s="178"/>
      <c r="AU8" s="178"/>
      <c r="AV8" s="493">
        <v>44743</v>
      </c>
      <c r="AW8" s="694">
        <v>45107</v>
      </c>
      <c r="AX8" s="178"/>
      <c r="AY8" s="178"/>
      <c r="AZ8" s="178"/>
      <c r="BA8" s="227"/>
      <c r="BB8" s="12"/>
      <c r="BC8" s="12"/>
      <c r="BD8" s="275"/>
      <c r="BE8" s="12"/>
      <c r="BG8" s="312"/>
    </row>
    <row r="9" spans="1:59" ht="13.5" customHeight="1" x14ac:dyDescent="0.25">
      <c r="A9" s="345">
        <f>Personnel!C10</f>
        <v>0</v>
      </c>
      <c r="B9" s="346" t="str">
        <f>Personnel!C9</f>
        <v>Faculty</v>
      </c>
      <c r="C9" s="353">
        <f>Personnel!C11</f>
        <v>0</v>
      </c>
      <c r="D9" s="178"/>
      <c r="E9" s="178"/>
      <c r="F9" s="178"/>
      <c r="G9" s="178"/>
      <c r="H9" s="178"/>
      <c r="I9" s="178"/>
      <c r="J9" s="178"/>
      <c r="K9" s="178"/>
      <c r="L9" s="178"/>
      <c r="M9" s="178"/>
      <c r="N9" s="178"/>
      <c r="O9" s="217">
        <v>22</v>
      </c>
      <c r="P9" s="178"/>
      <c r="Q9" s="178"/>
      <c r="R9" s="178"/>
      <c r="S9" s="178"/>
      <c r="T9" s="178"/>
      <c r="U9" s="178"/>
      <c r="V9" s="178"/>
      <c r="W9" s="178"/>
      <c r="X9" s="178"/>
      <c r="Y9" s="178"/>
      <c r="Z9" s="178"/>
      <c r="AA9" s="217">
        <v>23</v>
      </c>
      <c r="AB9" s="178"/>
      <c r="AC9" s="178"/>
      <c r="AD9" s="178"/>
      <c r="AE9" s="178"/>
      <c r="AF9" s="178"/>
      <c r="AG9" s="178"/>
      <c r="AH9" s="178"/>
      <c r="AI9" s="178"/>
      <c r="AJ9" s="178"/>
      <c r="AK9" s="178"/>
      <c r="AL9" s="217">
        <v>24</v>
      </c>
      <c r="AM9" s="178"/>
      <c r="AN9" s="178"/>
      <c r="AO9" s="178"/>
      <c r="AP9" s="178"/>
      <c r="AQ9" s="178"/>
      <c r="AR9" s="178"/>
      <c r="AS9" s="178"/>
      <c r="AT9" s="178"/>
      <c r="AU9" s="178"/>
      <c r="AV9" s="178"/>
      <c r="AW9" s="217">
        <v>24</v>
      </c>
      <c r="AX9" s="178"/>
      <c r="AY9" s="178"/>
      <c r="AZ9" s="178"/>
      <c r="BA9" s="306" t="s">
        <v>412</v>
      </c>
      <c r="BB9" s="348">
        <f>Personnel!O9</f>
        <v>0</v>
      </c>
      <c r="BC9" s="276" t="s">
        <v>414</v>
      </c>
      <c r="BD9" s="277">
        <f>(N11+N13+N15+Z11+Z13+Z15+AK11+AK13+AK15+AV11+AV13+AV15)*BB16</f>
        <v>0</v>
      </c>
      <c r="BE9" s="224"/>
      <c r="BG9" s="313"/>
    </row>
    <row r="10" spans="1:59" ht="13.5" customHeight="1" x14ac:dyDescent="0.25">
      <c r="A10" s="296"/>
      <c r="B10" s="116"/>
      <c r="C10" s="117" t="s">
        <v>30</v>
      </c>
      <c r="D10" s="178"/>
      <c r="E10" s="153" t="s">
        <v>16</v>
      </c>
      <c r="F10" s="153" t="s">
        <v>42</v>
      </c>
      <c r="G10" s="153" t="s">
        <v>41</v>
      </c>
      <c r="H10" s="183" t="s">
        <v>77</v>
      </c>
      <c r="I10" s="184" t="s">
        <v>90</v>
      </c>
      <c r="J10" s="185" t="s">
        <v>70</v>
      </c>
      <c r="K10" s="186" t="s">
        <v>577</v>
      </c>
      <c r="L10" s="153" t="s">
        <v>578</v>
      </c>
      <c r="M10" s="153" t="s">
        <v>82</v>
      </c>
      <c r="N10" s="153" t="s">
        <v>31</v>
      </c>
      <c r="O10" s="135" t="s">
        <v>69</v>
      </c>
      <c r="P10" s="153" t="s">
        <v>72</v>
      </c>
      <c r="Q10" s="183" t="s">
        <v>80</v>
      </c>
      <c r="R10" s="187" t="s">
        <v>81</v>
      </c>
      <c r="S10" s="183" t="s">
        <v>77</v>
      </c>
      <c r="T10" s="598" t="s">
        <v>83</v>
      </c>
      <c r="U10" s="185" t="s">
        <v>70</v>
      </c>
      <c r="V10" s="153" t="s">
        <v>91</v>
      </c>
      <c r="W10" s="153" t="s">
        <v>43</v>
      </c>
      <c r="X10" s="153" t="s">
        <v>53</v>
      </c>
      <c r="Y10" s="153" t="s">
        <v>68</v>
      </c>
      <c r="Z10" s="153" t="s">
        <v>32</v>
      </c>
      <c r="AA10" s="135" t="s">
        <v>69</v>
      </c>
      <c r="AB10" s="153" t="s">
        <v>72</v>
      </c>
      <c r="AC10" s="153" t="s">
        <v>80</v>
      </c>
      <c r="AD10" s="187" t="s">
        <v>81</v>
      </c>
      <c r="AE10" s="183" t="s">
        <v>77</v>
      </c>
      <c r="AF10" s="185" t="s">
        <v>70</v>
      </c>
      <c r="AG10" s="153" t="s">
        <v>92</v>
      </c>
      <c r="AH10" s="153" t="s">
        <v>44</v>
      </c>
      <c r="AI10" s="153" t="s">
        <v>78</v>
      </c>
      <c r="AJ10" s="153" t="s">
        <v>68</v>
      </c>
      <c r="AK10" s="153" t="s">
        <v>33</v>
      </c>
      <c r="AL10" s="135" t="s">
        <v>69</v>
      </c>
      <c r="AM10" s="153" t="s">
        <v>72</v>
      </c>
      <c r="AN10" s="153" t="s">
        <v>80</v>
      </c>
      <c r="AO10" s="187" t="s">
        <v>81</v>
      </c>
      <c r="AP10" s="183" t="s">
        <v>77</v>
      </c>
      <c r="AQ10" s="185" t="s">
        <v>70</v>
      </c>
      <c r="AR10" s="153" t="s">
        <v>92</v>
      </c>
      <c r="AS10" s="153" t="s">
        <v>44</v>
      </c>
      <c r="AT10" s="153" t="s">
        <v>78</v>
      </c>
      <c r="AU10" s="153" t="s">
        <v>68</v>
      </c>
      <c r="AV10" s="153" t="s">
        <v>33</v>
      </c>
      <c r="AW10" s="135" t="s">
        <v>69</v>
      </c>
      <c r="AX10" s="153"/>
      <c r="AY10" s="153"/>
      <c r="AZ10" s="178"/>
      <c r="BA10" s="227"/>
      <c r="BB10" s="349"/>
      <c r="BC10" s="227"/>
      <c r="BD10" s="275"/>
      <c r="BE10" s="12"/>
      <c r="BG10" s="313"/>
    </row>
    <row r="11" spans="1:59" ht="13.5" customHeight="1" x14ac:dyDescent="0.25">
      <c r="A11" s="296"/>
      <c r="B11" s="116"/>
      <c r="C11" s="115"/>
      <c r="D11" s="178"/>
      <c r="E11" s="189">
        <f>BB$9</f>
        <v>0</v>
      </c>
      <c r="F11" s="190">
        <f>IF($D$4=2022,1,0)</f>
        <v>0</v>
      </c>
      <c r="G11" s="178">
        <f>IF($B17="Yes",$C$5,$I17)</f>
        <v>12</v>
      </c>
      <c r="H11" s="191">
        <f>VLOOKUP($H$16,'Lookup Tables'!$A$22:$B$33,2,FALSE)</f>
        <v>3</v>
      </c>
      <c r="I11" s="192">
        <f>VLOOKUP($E$4,'Lookup Tables'!$AB$46:$AN$58,MATCH($H11,'Lookup Tables'!$AB$46:$AN$46),FALSE)</f>
        <v>12</v>
      </c>
      <c r="J11" s="585">
        <f>VLOOKUP(H11,'Lookup Tables'!$A$3:$AA$16,MATCH(PersonCalcYr2!$G$11,'Lookup Tables'!$A$3:$AA$3),FALSE)</f>
        <v>1.5161</v>
      </c>
      <c r="K11" s="194">
        <f>VLOOKUP(H16,'Lookup Tables'!$K$23:$L$34,2,FALSE)</f>
        <v>0</v>
      </c>
      <c r="L11" s="178">
        <f>IF(G11&lt;=K11,G11,K11)</f>
        <v>0</v>
      </c>
      <c r="M11" s="195">
        <f>IF(12-I11&gt;=1,1,0)</f>
        <v>0</v>
      </c>
      <c r="N11" s="196">
        <f>(('Rate Tables'!B4*PersonCalcYr2!E11)*PersonCalcYr2!L11)*PersonCalcYr2!F11*M11</f>
        <v>0</v>
      </c>
      <c r="O11" s="215">
        <f>G11-((J11+L11)*M11)</f>
        <v>12</v>
      </c>
      <c r="P11" s="197">
        <f>IF(O11&lt;0,O11*0,1)*O11</f>
        <v>12</v>
      </c>
      <c r="Q11" s="198">
        <f>H11+(L11*M11)+(J11*M11)</f>
        <v>3</v>
      </c>
      <c r="R11" s="199" t="str">
        <f>VLOOKUP(Q11,'Lookup Tables'!$A$38:$B$151,2,FALSE)</f>
        <v>Sept</v>
      </c>
      <c r="S11" s="191">
        <f>VLOOKUP(R11,'Lookup Tables'!$A$22:$B$33,2,FALSE)</f>
        <v>3</v>
      </c>
      <c r="T11" s="634">
        <f>VLOOKUP($E$4,'Lookup Tables'!$AB$63:$AN$75,MATCH(PersonCalcYr2!$S11,'Lookup Tables'!$AB$63:$AN$63),FALSE)</f>
        <v>0.5161</v>
      </c>
      <c r="U11" s="200">
        <f>VLOOKUP(S11,'Lookup Tables'!$A$3:$AA$16,MATCH(PersonCalcYr2!$P11,'Lookup Tables'!$A$3:$AA$3),FALSE)</f>
        <v>1.5161</v>
      </c>
      <c r="V11" s="633">
        <f>9-T11</f>
        <v>8.4839000000000002</v>
      </c>
      <c r="W11" s="589">
        <f>P11-U11</f>
        <v>10.4839</v>
      </c>
      <c r="X11" s="590">
        <f>IF(V11&lt;=W11,V11,W11)</f>
        <v>8.4839000000000002</v>
      </c>
      <c r="Y11" s="195">
        <f>IF(12-T11-U11-X11&gt;=0,1,0)</f>
        <v>1</v>
      </c>
      <c r="Z11" s="202">
        <f>((('Rate Tables'!C4*$E11)*PersonCalcYr2!$X11)*$F11)*Y11</f>
        <v>0</v>
      </c>
      <c r="AA11" s="215">
        <f>O11-(((U11*U17)+X11)*Y11)</f>
        <v>2</v>
      </c>
      <c r="AB11" s="197">
        <f>IF(AA11&lt;0,AA11*0,1)*AA11</f>
        <v>2</v>
      </c>
      <c r="AC11" s="203">
        <f>S11+(X11*Y11)+((U11*U17)*Y11)</f>
        <v>13</v>
      </c>
      <c r="AD11" s="199" t="str">
        <f>VLOOKUP(AC11,'Lookup Tables'!$A$38:$B$151,2,FALSE)</f>
        <v>July</v>
      </c>
      <c r="AE11" s="191">
        <f>VLOOKUP(AD11,'Lookup Tables'!$A$22:$B$33,2,FALSE)</f>
        <v>1</v>
      </c>
      <c r="AF11" s="200">
        <f>VLOOKUP(AE11,'Lookup Tables'!$A$3:$AA$16,MATCH(PersonCalcYr2!AB11,'Lookup Tables'!$A$3:$AA$3),FALSE)</f>
        <v>1.4839</v>
      </c>
      <c r="AG11" s="178">
        <v>9</v>
      </c>
      <c r="AH11" s="201">
        <f>AB11-AF11</f>
        <v>0.5161</v>
      </c>
      <c r="AI11" s="195">
        <f>IF(AG11&lt;=AH11,AG11,AH11)</f>
        <v>0.5161</v>
      </c>
      <c r="AJ11" s="195">
        <f>IF((AG11+AF11)&lt;=0,0,1)</f>
        <v>1</v>
      </c>
      <c r="AK11" s="204">
        <f>((('Rate Tables'!D4*$E11)*PersonCalcYr2!AI11)*$F11)*AJ11</f>
        <v>0</v>
      </c>
      <c r="AL11" s="215">
        <f>AB11-AF11-AI11</f>
        <v>0</v>
      </c>
      <c r="AM11" s="197">
        <f>IF(AL11&lt;0,AL11*0,1)*AL11</f>
        <v>0</v>
      </c>
      <c r="AN11" s="203">
        <f>AE11+(AI11*AJ11)+((AF11*AF17)*AJ11)</f>
        <v>3</v>
      </c>
      <c r="AO11" s="199" t="str">
        <f>VLOOKUP(AN11,'Lookup Tables'!$A$38:$B$151,2,FALSE)</f>
        <v>Sept</v>
      </c>
      <c r="AP11" s="191">
        <f>VLOOKUP(AO11,'Lookup Tables'!$A$22:$B$33,2,FALSE)</f>
        <v>3</v>
      </c>
      <c r="AQ11" s="200">
        <f>VLOOKUP(AP11,'Lookup Tables'!$A$3:$AA$16,MATCH(PersonCalcYr2!AM11,'Lookup Tables'!$A$3:$AA$3),FALSE)</f>
        <v>0</v>
      </c>
      <c r="AR11" s="178">
        <v>9</v>
      </c>
      <c r="AS11" s="201">
        <f>AM11-AQ11</f>
        <v>0</v>
      </c>
      <c r="AT11" s="195">
        <f>IF(AR11&lt;=AS11,AR11,AS11)</f>
        <v>0</v>
      </c>
      <c r="AU11" s="195">
        <f>IF((AR11+AQ11)&lt;=0,0,1)</f>
        <v>1</v>
      </c>
      <c r="AV11" s="715">
        <f>((('Rate Tables'!E4*$E11)*PersonCalcYr2!AT11)*$F11)*AU11</f>
        <v>0</v>
      </c>
      <c r="AW11" s="215">
        <f>AM11-AQ11-AT11</f>
        <v>0</v>
      </c>
      <c r="AX11" s="197"/>
      <c r="AY11" s="197"/>
      <c r="AZ11" s="178"/>
      <c r="BA11" s="227"/>
      <c r="BB11" s="350"/>
      <c r="BC11" s="227"/>
      <c r="BD11" s="275"/>
      <c r="BE11" s="12"/>
      <c r="BG11" s="313"/>
    </row>
    <row r="12" spans="1:59" ht="13.5" customHeight="1" x14ac:dyDescent="0.25">
      <c r="A12" s="296"/>
      <c r="B12" s="116"/>
      <c r="C12" s="117" t="s">
        <v>597</v>
      </c>
      <c r="D12" s="178"/>
      <c r="E12" s="153" t="s">
        <v>16</v>
      </c>
      <c r="F12" s="153" t="s">
        <v>42</v>
      </c>
      <c r="G12" s="153" t="s">
        <v>41</v>
      </c>
      <c r="H12" s="183" t="s">
        <v>77</v>
      </c>
      <c r="I12" s="184" t="s">
        <v>90</v>
      </c>
      <c r="J12" s="185" t="s">
        <v>70</v>
      </c>
      <c r="K12" s="186" t="s">
        <v>577</v>
      </c>
      <c r="L12" s="153" t="s">
        <v>578</v>
      </c>
      <c r="M12" s="153" t="s">
        <v>82</v>
      </c>
      <c r="N12" s="153" t="s">
        <v>32</v>
      </c>
      <c r="O12" s="135" t="s">
        <v>69</v>
      </c>
      <c r="P12" s="153" t="s">
        <v>72</v>
      </c>
      <c r="Q12" s="183" t="s">
        <v>80</v>
      </c>
      <c r="R12" s="187" t="s">
        <v>81</v>
      </c>
      <c r="S12" s="183" t="s">
        <v>77</v>
      </c>
      <c r="T12" s="598" t="s">
        <v>83</v>
      </c>
      <c r="U12" s="185" t="s">
        <v>70</v>
      </c>
      <c r="V12" s="153" t="s">
        <v>92</v>
      </c>
      <c r="W12" s="153" t="s">
        <v>44</v>
      </c>
      <c r="X12" s="153" t="s">
        <v>78</v>
      </c>
      <c r="Y12" s="153" t="s">
        <v>68</v>
      </c>
      <c r="Z12" s="153" t="s">
        <v>33</v>
      </c>
      <c r="AA12" s="135" t="s">
        <v>69</v>
      </c>
      <c r="AB12" s="153" t="s">
        <v>72</v>
      </c>
      <c r="AC12" s="153" t="s">
        <v>80</v>
      </c>
      <c r="AD12" s="187" t="s">
        <v>81</v>
      </c>
      <c r="AE12" s="183" t="s">
        <v>77</v>
      </c>
      <c r="AF12" s="185" t="s">
        <v>70</v>
      </c>
      <c r="AG12" s="153" t="s">
        <v>94</v>
      </c>
      <c r="AH12" s="153" t="s">
        <v>45</v>
      </c>
      <c r="AI12" s="153" t="s">
        <v>79</v>
      </c>
      <c r="AJ12" s="153" t="s">
        <v>68</v>
      </c>
      <c r="AK12" s="153" t="s">
        <v>34</v>
      </c>
      <c r="AL12" s="135" t="s">
        <v>69</v>
      </c>
      <c r="AM12" s="153" t="s">
        <v>72</v>
      </c>
      <c r="AN12" s="153" t="s">
        <v>80</v>
      </c>
      <c r="AO12" s="187" t="s">
        <v>81</v>
      </c>
      <c r="AP12" s="183" t="s">
        <v>77</v>
      </c>
      <c r="AQ12" s="185" t="s">
        <v>70</v>
      </c>
      <c r="AR12" s="153" t="s">
        <v>94</v>
      </c>
      <c r="AS12" s="153" t="s">
        <v>45</v>
      </c>
      <c r="AT12" s="153" t="s">
        <v>79</v>
      </c>
      <c r="AU12" s="153" t="s">
        <v>68</v>
      </c>
      <c r="AV12" s="153" t="s">
        <v>34</v>
      </c>
      <c r="AW12" s="135" t="s">
        <v>69</v>
      </c>
      <c r="AX12" s="153"/>
      <c r="AY12" s="153"/>
      <c r="AZ12" s="178"/>
      <c r="BA12" s="227"/>
      <c r="BB12" s="351"/>
      <c r="BC12" s="227"/>
      <c r="BD12" s="275"/>
      <c r="BE12" s="12"/>
      <c r="BG12" s="313"/>
    </row>
    <row r="13" spans="1:59" ht="13.5" customHeight="1" x14ac:dyDescent="0.25">
      <c r="A13" s="296"/>
      <c r="B13" s="116"/>
      <c r="C13" s="115"/>
      <c r="D13" s="178"/>
      <c r="E13" s="189">
        <f>BB$9</f>
        <v>0</v>
      </c>
      <c r="F13" s="190">
        <f>IF($D$4=2023,1,0)</f>
        <v>1</v>
      </c>
      <c r="G13" s="178">
        <f>IF($B17="Yes",$C$5,$I17)</f>
        <v>12</v>
      </c>
      <c r="H13" s="191">
        <f>VLOOKUP($H$16,'Lookup Tables'!$A$22:$B$33,2,FALSE)</f>
        <v>3</v>
      </c>
      <c r="I13" s="192">
        <f>VLOOKUP($E$4,'Lookup Tables'!$AB$46:$AN$58,MATCH($H13,'Lookup Tables'!$AB$46:$AN$46),FALSE)</f>
        <v>12</v>
      </c>
      <c r="J13" s="193">
        <f>VLOOKUP(H13,'Lookup Tables'!$A$3:$AA$16,MATCH(PersonCalcYr2!$G13,'Lookup Tables'!$A$3:$AA$3),FALSE)</f>
        <v>1.5161</v>
      </c>
      <c r="K13" s="194">
        <f>VLOOKUP(H16,'Lookup Tables'!$K$23:$L$34,2,FALSE)</f>
        <v>0</v>
      </c>
      <c r="L13" s="178">
        <f>IF(G13&lt;=K13,G13,K13)</f>
        <v>0</v>
      </c>
      <c r="M13" s="195">
        <f>IF(12-I13&gt;=1,1,0)</f>
        <v>0</v>
      </c>
      <c r="N13" s="196">
        <f>(('Rate Tables'!C4*PersonCalcYr2!E13)*PersonCalcYr2!L13)*PersonCalcYr2!F13*M13</f>
        <v>0</v>
      </c>
      <c r="O13" s="215">
        <f>G13-((J13+L13)*M13)</f>
        <v>12</v>
      </c>
      <c r="P13" s="197">
        <f>IF(O13&lt;0,O13*0,1)*O13</f>
        <v>12</v>
      </c>
      <c r="Q13" s="198">
        <f>H13+(L13*M13)+(J13*M13)</f>
        <v>3</v>
      </c>
      <c r="R13" s="199" t="str">
        <f>VLOOKUP(Q13,'Lookup Tables'!$A$38:$B$151,2,FALSE)</f>
        <v>Sept</v>
      </c>
      <c r="S13" s="191">
        <f>VLOOKUP(R13,'Lookup Tables'!$A$22:$B$33,2,FALSE)</f>
        <v>3</v>
      </c>
      <c r="T13" s="599">
        <f>VLOOKUP($E$4,'Lookup Tables'!$AB$63:$AN$75,MATCH(PersonCalcYr2!$S13,'Lookup Tables'!$AB$63:$AN$63),FALSE)</f>
        <v>0.5161</v>
      </c>
      <c r="U13" s="200">
        <f>VLOOKUP(S13,'Lookup Tables'!$A$3:$AA$16,MATCH(PersonCalcYr2!$P13,'Lookup Tables'!$A$3:$AA$3),FALSE)</f>
        <v>1.5161</v>
      </c>
      <c r="V13" s="496">
        <f>9-T13</f>
        <v>8.4839000000000002</v>
      </c>
      <c r="W13" s="201">
        <f>P13-U13</f>
        <v>10.4839</v>
      </c>
      <c r="X13" s="590">
        <f>IF(V13&lt;=W13,V13,W13)</f>
        <v>8.4839000000000002</v>
      </c>
      <c r="Y13" s="195">
        <f>IF(12-T13-U13-X13&gt;=0,1,0)</f>
        <v>1</v>
      </c>
      <c r="Z13" s="202">
        <f>((('Rate Tables'!D4*$E13)*PersonCalcYr2!$X13)*$F13)*Y13</f>
        <v>0</v>
      </c>
      <c r="AA13" s="215">
        <f>O13-(((U13*U17)+X13)*Y13)</f>
        <v>2</v>
      </c>
      <c r="AB13" s="197">
        <f>IF(AA13&lt;0,AA13*0,1)*AA13</f>
        <v>2</v>
      </c>
      <c r="AC13" s="601">
        <f>S13+(X13*Y13)+((U13*U17)*Y13)</f>
        <v>13</v>
      </c>
      <c r="AD13" s="199" t="str">
        <f>VLOOKUP(AC13,'Lookup Tables'!$A$38:$B$151,2,FALSE)</f>
        <v>July</v>
      </c>
      <c r="AE13" s="191">
        <f>VLOOKUP(AD13,'Lookup Tables'!$A$22:$B$33,2,FALSE)</f>
        <v>1</v>
      </c>
      <c r="AF13" s="200">
        <f>VLOOKUP(AE13,'Lookup Tables'!$A$3:$AA$16,MATCH(PersonCalcYr2!AB13,'Lookup Tables'!$A$3:$AA$3),FALSE)</f>
        <v>1.4839</v>
      </c>
      <c r="AG13" s="178">
        <v>9</v>
      </c>
      <c r="AH13" s="201">
        <f>AB13-AF13</f>
        <v>0.5161</v>
      </c>
      <c r="AI13" s="195">
        <f>IF(AG13&lt;=AH13,AG13,AH13)</f>
        <v>0.5161</v>
      </c>
      <c r="AJ13" s="195">
        <f>IF((AG13+AF13)&lt;=0,0,1)</f>
        <v>1</v>
      </c>
      <c r="AK13" s="204">
        <f>((('Rate Tables'!E4*$E13)*PersonCalcYr2!AI13)*$F13)*AJ13</f>
        <v>0</v>
      </c>
      <c r="AL13" s="215">
        <f>AB13-AF13-AI13</f>
        <v>0</v>
      </c>
      <c r="AM13" s="197">
        <f>IF(AL13&lt;0,AL13*0,1)*AL13</f>
        <v>0</v>
      </c>
      <c r="AN13" s="601">
        <f>AE13+(AI13*AJ13)+((AF13*AF17)*AJ13)</f>
        <v>3</v>
      </c>
      <c r="AO13" s="199" t="str">
        <f>VLOOKUP(AN13,'Lookup Tables'!$A$38:$B$151,2,FALSE)</f>
        <v>Sept</v>
      </c>
      <c r="AP13" s="191">
        <f>VLOOKUP(AO13,'Lookup Tables'!$A$22:$B$33,2,FALSE)</f>
        <v>3</v>
      </c>
      <c r="AQ13" s="200">
        <f>VLOOKUP(AP13,'Lookup Tables'!$A$3:$AA$16,MATCH(PersonCalcYr2!AM13,'Lookup Tables'!$A$3:$AA$3),FALSE)</f>
        <v>0</v>
      </c>
      <c r="AR13" s="178">
        <v>9</v>
      </c>
      <c r="AS13" s="201">
        <f>AM13-AQ13</f>
        <v>0</v>
      </c>
      <c r="AT13" s="195">
        <f>IF(AR13&lt;=AS13,AR13,AS13)</f>
        <v>0</v>
      </c>
      <c r="AU13" s="195">
        <f>IF((AR13+AQ13)&lt;=0,0,1)</f>
        <v>1</v>
      </c>
      <c r="AV13" s="204">
        <f>((('Rate Tables'!F4*$E13)*PersonCalcYr2!AT13)*$F13)*AU13</f>
        <v>0</v>
      </c>
      <c r="AW13" s="215">
        <f>AM13-AQ13-AT13</f>
        <v>0</v>
      </c>
      <c r="AX13" s="197"/>
      <c r="AY13" s="197"/>
      <c r="AZ13" s="178"/>
      <c r="BA13" s="227"/>
      <c r="BB13" s="349"/>
      <c r="BC13" s="227"/>
      <c r="BD13" s="275"/>
      <c r="BE13" s="12"/>
      <c r="BG13" s="313"/>
    </row>
    <row r="14" spans="1:59" ht="13.5" customHeight="1" x14ac:dyDescent="0.25">
      <c r="A14" s="296"/>
      <c r="B14" s="116"/>
      <c r="C14" s="117" t="s">
        <v>664</v>
      </c>
      <c r="D14" s="178"/>
      <c r="E14" s="153" t="s">
        <v>16</v>
      </c>
      <c r="F14" s="153" t="s">
        <v>42</v>
      </c>
      <c r="G14" s="153" t="s">
        <v>41</v>
      </c>
      <c r="H14" s="183" t="s">
        <v>77</v>
      </c>
      <c r="I14" s="184" t="s">
        <v>90</v>
      </c>
      <c r="J14" s="185" t="s">
        <v>70</v>
      </c>
      <c r="K14" s="186" t="s">
        <v>577</v>
      </c>
      <c r="L14" s="153" t="s">
        <v>578</v>
      </c>
      <c r="M14" s="153" t="s">
        <v>82</v>
      </c>
      <c r="N14" s="153" t="s">
        <v>33</v>
      </c>
      <c r="O14" s="135" t="s">
        <v>69</v>
      </c>
      <c r="P14" s="153" t="s">
        <v>72</v>
      </c>
      <c r="Q14" s="183" t="s">
        <v>80</v>
      </c>
      <c r="R14" s="187" t="s">
        <v>81</v>
      </c>
      <c r="S14" s="183" t="s">
        <v>77</v>
      </c>
      <c r="T14" s="598" t="s">
        <v>83</v>
      </c>
      <c r="U14" s="185" t="s">
        <v>70</v>
      </c>
      <c r="V14" s="153" t="s">
        <v>94</v>
      </c>
      <c r="W14" s="153" t="s">
        <v>45</v>
      </c>
      <c r="X14" s="153" t="s">
        <v>79</v>
      </c>
      <c r="Y14" s="153" t="s">
        <v>68</v>
      </c>
      <c r="Z14" s="153" t="s">
        <v>34</v>
      </c>
      <c r="AA14" s="135" t="s">
        <v>69</v>
      </c>
      <c r="AB14" s="153" t="s">
        <v>72</v>
      </c>
      <c r="AC14" s="153" t="s">
        <v>80</v>
      </c>
      <c r="AD14" s="187" t="s">
        <v>81</v>
      </c>
      <c r="AE14" s="183" t="s">
        <v>77</v>
      </c>
      <c r="AF14" s="185" t="s">
        <v>70</v>
      </c>
      <c r="AG14" s="153" t="s">
        <v>607</v>
      </c>
      <c r="AH14" s="153" t="s">
        <v>608</v>
      </c>
      <c r="AI14" s="153" t="s">
        <v>601</v>
      </c>
      <c r="AJ14" s="153" t="s">
        <v>68</v>
      </c>
      <c r="AK14" s="153" t="s">
        <v>602</v>
      </c>
      <c r="AL14" s="135" t="s">
        <v>69</v>
      </c>
      <c r="AM14" s="153" t="s">
        <v>72</v>
      </c>
      <c r="AN14" s="153" t="s">
        <v>80</v>
      </c>
      <c r="AO14" s="187" t="s">
        <v>81</v>
      </c>
      <c r="AP14" s="183" t="s">
        <v>77</v>
      </c>
      <c r="AQ14" s="185" t="s">
        <v>70</v>
      </c>
      <c r="AR14" s="153" t="s">
        <v>607</v>
      </c>
      <c r="AS14" s="153" t="s">
        <v>608</v>
      </c>
      <c r="AT14" s="153" t="s">
        <v>601</v>
      </c>
      <c r="AU14" s="153" t="s">
        <v>68</v>
      </c>
      <c r="AV14" s="153" t="s">
        <v>602</v>
      </c>
      <c r="AW14" s="135" t="s">
        <v>69</v>
      </c>
      <c r="AX14" s="197"/>
      <c r="AY14" s="197"/>
      <c r="AZ14" s="178"/>
      <c r="BA14" s="227"/>
      <c r="BB14" s="349"/>
      <c r="BC14" s="227"/>
      <c r="BD14" s="275"/>
      <c r="BE14" s="12"/>
      <c r="BG14" s="313"/>
    </row>
    <row r="15" spans="1:59" ht="13.5" customHeight="1" x14ac:dyDescent="0.25">
      <c r="A15" s="296"/>
      <c r="B15" s="116"/>
      <c r="C15" s="115"/>
      <c r="D15" s="178"/>
      <c r="E15" s="189">
        <f>BB$9</f>
        <v>0</v>
      </c>
      <c r="F15" s="190">
        <f>IF($D$4=2024,1,0)</f>
        <v>0</v>
      </c>
      <c r="G15" s="178">
        <f>IF($B17="Yes",$C$5,$I17)</f>
        <v>12</v>
      </c>
      <c r="H15" s="191">
        <f>VLOOKUP($H$16,'Lookup Tables'!$A$22:$B$33,2,FALSE)</f>
        <v>3</v>
      </c>
      <c r="I15" s="192">
        <f>VLOOKUP($E$4,'Lookup Tables'!$AB$46:$AN$58,MATCH($H15,'Lookup Tables'!$AB$46:$AN$46),FALSE)</f>
        <v>12</v>
      </c>
      <c r="J15" s="193">
        <f>VLOOKUP(H15,'Lookup Tables'!$A$3:$AA$16,MATCH(PersonCalcYr2!$G15,'Lookup Tables'!$A$3:$AA$3),FALSE)</f>
        <v>1.5161</v>
      </c>
      <c r="K15" s="194">
        <f>VLOOKUP(H16,'Lookup Tables'!$K$23:$L$34,2,FALSE)</f>
        <v>0</v>
      </c>
      <c r="L15" s="178">
        <f>IF(G15&lt;=K15,G15,K15)</f>
        <v>0</v>
      </c>
      <c r="M15" s="195">
        <f>IF(12-I15&gt;=1,1,0)</f>
        <v>0</v>
      </c>
      <c r="N15" s="196">
        <f>(('Rate Tables'!D4*PersonCalcYr2!E15)*PersonCalcYr2!L15)*PersonCalcYr2!F15*M15</f>
        <v>0</v>
      </c>
      <c r="O15" s="215">
        <f>G15-((J15+L15)*M15)</f>
        <v>12</v>
      </c>
      <c r="P15" s="197">
        <f>IF(O15&lt;0,O15*0,1)*O15</f>
        <v>12</v>
      </c>
      <c r="Q15" s="198">
        <f>H15+(L15*M15)+(J15*M15)</f>
        <v>3</v>
      </c>
      <c r="R15" s="199" t="str">
        <f>VLOOKUP(Q15,'Lookup Tables'!$A$38:$B$151,2,FALSE)</f>
        <v>Sept</v>
      </c>
      <c r="S15" s="191">
        <f>VLOOKUP(R15,'Lookup Tables'!$A$22:$B$33,2,FALSE)</f>
        <v>3</v>
      </c>
      <c r="T15" s="599">
        <f>VLOOKUP($E$4,'Lookup Tables'!$AB$63:$AN$75,MATCH(PersonCalcYr2!$S15,'Lookup Tables'!$AB$63:$AN$63),FALSE)</f>
        <v>0.5161</v>
      </c>
      <c r="U15" s="200">
        <f>VLOOKUP(S15,'Lookup Tables'!$A$3:$AA$16,MATCH(PersonCalcYr2!$P15,'Lookup Tables'!$A$3:$AA$3),FALSE)</f>
        <v>1.5161</v>
      </c>
      <c r="V15" s="496">
        <f>9-T15</f>
        <v>8.4839000000000002</v>
      </c>
      <c r="W15" s="201">
        <f>P15-U15</f>
        <v>10.4839</v>
      </c>
      <c r="X15" s="590">
        <f>IF(V15&lt;=W15,V15,W15)</f>
        <v>8.4839000000000002</v>
      </c>
      <c r="Y15" s="195">
        <f>IF(12-T15-U15-X15&gt;=0,1,0)</f>
        <v>1</v>
      </c>
      <c r="Z15" s="202">
        <f>((('Rate Tables'!E4*$E15)*PersonCalcYr2!$X15)*$F15)*Y15</f>
        <v>0</v>
      </c>
      <c r="AA15" s="215">
        <f>O15-(((U15*U17)+X15)*Y15)</f>
        <v>2</v>
      </c>
      <c r="AB15" s="197">
        <f>IF(AA15&lt;0,AA15*0,1)*AA15</f>
        <v>2</v>
      </c>
      <c r="AC15" s="601">
        <f>S15+(X15*Y15)+((U15*U17)*Y15)</f>
        <v>13</v>
      </c>
      <c r="AD15" s="199" t="str">
        <f>VLOOKUP(AC15,'Lookup Tables'!$A$38:$B$151,2,FALSE)</f>
        <v>July</v>
      </c>
      <c r="AE15" s="191">
        <f>VLOOKUP(AD15,'Lookup Tables'!$A$22:$B$33,2,FALSE)</f>
        <v>1</v>
      </c>
      <c r="AF15" s="200">
        <f>VLOOKUP(AE15,'Lookup Tables'!$A$3:$AA$16,MATCH(PersonCalcYr2!AB15,'Lookup Tables'!$A$3:$AA$3),FALSE)</f>
        <v>1.4839</v>
      </c>
      <c r="AG15" s="178">
        <v>9</v>
      </c>
      <c r="AH15" s="201">
        <f>AB15-AF15</f>
        <v>0.5161</v>
      </c>
      <c r="AI15" s="195">
        <f>IF(AG15&lt;=AH15,AG15,AH15)</f>
        <v>0.5161</v>
      </c>
      <c r="AJ15" s="195">
        <f>IF((AG15+AF15)&lt;=0,0,1)</f>
        <v>1</v>
      </c>
      <c r="AK15" s="204">
        <f>((('Rate Tables'!F4*$E15)*PersonCalcYr2!AI15)*$F15)*AJ15</f>
        <v>0</v>
      </c>
      <c r="AL15" s="215">
        <f>AB15-AF15-AI15</f>
        <v>0</v>
      </c>
      <c r="AM15" s="197">
        <f>IF(AL15&lt;0,AL15*0,1)*AL15</f>
        <v>0</v>
      </c>
      <c r="AN15" s="203">
        <f>AE15+(AI15*AJ15)+((AF15*AF17)*AJ15)</f>
        <v>3</v>
      </c>
      <c r="AO15" s="199" t="str">
        <f>VLOOKUP(AN15,'Lookup Tables'!$A$38:$B$151,2,FALSE)</f>
        <v>Sept</v>
      </c>
      <c r="AP15" s="191">
        <f>VLOOKUP(AO15,'Lookup Tables'!$A$22:$B$33,2,FALSE)</f>
        <v>3</v>
      </c>
      <c r="AQ15" s="200">
        <f>VLOOKUP(AP15,'Lookup Tables'!$A$3:$AA$16,MATCH(PersonCalcYr2!AM15,'Lookup Tables'!$A$3:$AA$3),FALSE)</f>
        <v>0</v>
      </c>
      <c r="AR15" s="178">
        <v>9</v>
      </c>
      <c r="AS15" s="201">
        <f>AM15-AQ15</f>
        <v>0</v>
      </c>
      <c r="AT15" s="195">
        <f>IF(AR15&lt;=AS15,AR15,AS15)</f>
        <v>0</v>
      </c>
      <c r="AU15" s="195">
        <f>IF((AR15+AQ15)&lt;=0,0,1)</f>
        <v>1</v>
      </c>
      <c r="AV15" s="204">
        <f>((('Rate Tables'!G4*$E15)*PersonCalcYr2!AT15)*$F15)*AU15</f>
        <v>0</v>
      </c>
      <c r="AW15" s="215">
        <f>AM15-AQ15-AT15</f>
        <v>0</v>
      </c>
      <c r="AX15" s="197"/>
      <c r="AY15" s="197"/>
      <c r="AZ15" s="178"/>
      <c r="BA15" s="227"/>
      <c r="BB15" s="349"/>
      <c r="BC15" s="227"/>
      <c r="BD15" s="275"/>
      <c r="BE15" s="12"/>
      <c r="BG15" s="313"/>
    </row>
    <row r="16" spans="1:59" ht="13.5" customHeight="1" x14ac:dyDescent="0.25">
      <c r="A16" s="296"/>
      <c r="B16" s="116"/>
      <c r="C16" s="115"/>
      <c r="D16" s="178"/>
      <c r="E16" s="205"/>
      <c r="F16" s="190"/>
      <c r="G16" s="178" t="s">
        <v>430</v>
      </c>
      <c r="H16" s="178" t="str">
        <f>IF(B17="yes",$C$4,A26)</f>
        <v>Sept</v>
      </c>
      <c r="I16" s="178"/>
      <c r="J16" s="178"/>
      <c r="K16" s="178"/>
      <c r="L16" s="178"/>
      <c r="M16" s="206"/>
      <c r="N16" s="207"/>
      <c r="O16" s="216"/>
      <c r="P16" s="190"/>
      <c r="Q16" s="190"/>
      <c r="R16" s="190"/>
      <c r="S16" s="190"/>
      <c r="T16" s="190"/>
      <c r="U16" s="178"/>
      <c r="V16" s="201"/>
      <c r="W16" s="201"/>
      <c r="X16" s="178"/>
      <c r="Y16" s="206"/>
      <c r="Z16" s="207"/>
      <c r="AA16" s="216"/>
      <c r="AB16" s="202"/>
      <c r="AC16" s="202"/>
      <c r="AD16" s="202"/>
      <c r="AE16" s="202"/>
      <c r="AF16" s="203"/>
      <c r="AG16" s="201"/>
      <c r="AH16" s="201"/>
      <c r="AI16" s="178"/>
      <c r="AJ16" s="206"/>
      <c r="AK16" s="207"/>
      <c r="AL16" s="216"/>
      <c r="AM16" s="202"/>
      <c r="AN16" s="202"/>
      <c r="AO16" s="202"/>
      <c r="AP16" s="202"/>
      <c r="AQ16" s="203"/>
      <c r="AR16" s="201"/>
      <c r="AS16" s="201"/>
      <c r="AT16" s="178"/>
      <c r="AU16" s="206"/>
      <c r="AV16" s="207"/>
      <c r="AW16" s="216"/>
      <c r="AX16" s="202"/>
      <c r="AY16" s="202"/>
      <c r="AZ16" s="178"/>
      <c r="BA16" s="307" t="s">
        <v>450</v>
      </c>
      <c r="BB16" s="349">
        <f>IF(B9=0,0,1)</f>
        <v>1</v>
      </c>
      <c r="BC16" s="227"/>
      <c r="BD16" s="275"/>
      <c r="BE16" s="12"/>
      <c r="BG16" s="313"/>
    </row>
    <row r="17" spans="1:59" ht="13.5" customHeight="1" x14ac:dyDescent="0.25">
      <c r="A17" s="37" t="s">
        <v>431</v>
      </c>
      <c r="B17" s="375" t="str">
        <f>Personnel!M9</f>
        <v>YES</v>
      </c>
      <c r="C17" s="115"/>
      <c r="D17" s="178"/>
      <c r="E17" s="205"/>
      <c r="F17" s="190"/>
      <c r="G17" s="491" t="s">
        <v>555</v>
      </c>
      <c r="H17" s="11">
        <f>IF(H18&lt;$C$5,H18,$C$5)</f>
        <v>12</v>
      </c>
      <c r="I17" s="178">
        <f>IF(B26&lt;=H18,B26,H18)</f>
        <v>0</v>
      </c>
      <c r="J17" s="178"/>
      <c r="K17" s="178"/>
      <c r="L17" s="178"/>
      <c r="M17" s="178"/>
      <c r="N17" s="178"/>
      <c r="O17" s="217"/>
      <c r="P17" s="190"/>
      <c r="Q17" s="190"/>
      <c r="R17" s="190"/>
      <c r="S17" s="190"/>
      <c r="T17" s="605" t="s">
        <v>573</v>
      </c>
      <c r="U17" s="714">
        <f>VLOOKUP($E$4,'Lookup Tables'!$L$79:$X$91,MATCH(PersonCalcYr2!$S11,'Lookup Tables'!$L$79:$X$79),FALSE)</f>
        <v>1</v>
      </c>
      <c r="V17" s="201"/>
      <c r="W17" s="201"/>
      <c r="X17" s="201"/>
      <c r="Y17" s="195"/>
      <c r="Z17" s="195"/>
      <c r="AA17" s="695"/>
      <c r="AB17" s="202"/>
      <c r="AC17" s="202"/>
      <c r="AD17" s="202"/>
      <c r="AE17" s="605" t="s">
        <v>573</v>
      </c>
      <c r="AF17" s="714">
        <v>1</v>
      </c>
      <c r="AG17" s="201"/>
      <c r="AH17" s="201"/>
      <c r="AI17" s="201"/>
      <c r="AJ17" s="201"/>
      <c r="AK17" s="202"/>
      <c r="AL17" s="695"/>
      <c r="AM17" s="202"/>
      <c r="AN17" s="202"/>
      <c r="AO17" s="202"/>
      <c r="AP17" s="202"/>
      <c r="AQ17" s="203"/>
      <c r="AR17" s="201"/>
      <c r="AS17" s="201"/>
      <c r="AT17" s="201"/>
      <c r="AU17" s="201"/>
      <c r="AV17" s="202"/>
      <c r="AW17" s="695"/>
      <c r="AX17" s="202"/>
      <c r="AY17" s="202"/>
      <c r="AZ17" s="178"/>
      <c r="BA17" s="370" t="s">
        <v>411</v>
      </c>
      <c r="BB17" s="460">
        <f>Personnel!O10</f>
        <v>10</v>
      </c>
      <c r="BC17" s="276" t="s">
        <v>117</v>
      </c>
      <c r="BD17" s="277">
        <f>(N20+W20+AJ20+AU20+N22+W22+AJ22+AU22+N24+W24+AJ24+AU24)*BB16</f>
        <v>0</v>
      </c>
      <c r="BE17" s="224"/>
      <c r="BG17" s="313"/>
    </row>
    <row r="18" spans="1:59" ht="13.5" customHeight="1" x14ac:dyDescent="0.25">
      <c r="A18" s="296" t="s">
        <v>439</v>
      </c>
      <c r="B18" s="114" t="s">
        <v>427</v>
      </c>
      <c r="C18" s="114"/>
      <c r="D18" s="178"/>
      <c r="E18" s="178"/>
      <c r="F18" s="178"/>
      <c r="G18" s="178"/>
      <c r="H18" s="175">
        <f>VLOOKUP($E$4,'Lookup Tables'!$L$46:$AA$58,MATCH($H$11,'Lookup Tables'!$L$46:$X$46),FALSE)</f>
        <v>12</v>
      </c>
      <c r="I18" s="178"/>
      <c r="J18" s="178"/>
      <c r="K18" s="178"/>
      <c r="L18" s="178"/>
      <c r="M18" s="178"/>
      <c r="N18" s="178"/>
      <c r="O18" s="217"/>
      <c r="P18" s="178"/>
      <c r="Q18" s="178"/>
      <c r="R18" s="178"/>
      <c r="S18" s="178"/>
      <c r="T18" s="178"/>
      <c r="U18" s="178"/>
      <c r="V18" s="178"/>
      <c r="W18" s="178"/>
      <c r="X18" s="178"/>
      <c r="Y18" s="178"/>
      <c r="Z18" s="178"/>
      <c r="AA18" s="217"/>
      <c r="AB18" s="178"/>
      <c r="AC18" s="178"/>
      <c r="AD18" s="178"/>
      <c r="AE18" s="178"/>
      <c r="AF18" s="178"/>
      <c r="AG18" s="178"/>
      <c r="AH18" s="178"/>
      <c r="AI18" s="178"/>
      <c r="AJ18" s="178"/>
      <c r="AK18" s="178"/>
      <c r="AL18" s="217"/>
      <c r="AM18" s="178"/>
      <c r="AN18" s="178"/>
      <c r="AO18" s="178"/>
      <c r="AP18" s="178"/>
      <c r="AQ18" s="178"/>
      <c r="AR18" s="178"/>
      <c r="AS18" s="178"/>
      <c r="AT18" s="178"/>
      <c r="AU18" s="178"/>
      <c r="AV18" s="178"/>
      <c r="AW18" s="217"/>
      <c r="AX18" s="178"/>
      <c r="AY18" s="178"/>
      <c r="AZ18" s="178"/>
      <c r="BA18" s="227"/>
      <c r="BB18" s="12"/>
      <c r="BC18" s="278" t="s">
        <v>96</v>
      </c>
      <c r="BD18" s="279">
        <f>BD9+BD17</f>
        <v>0</v>
      </c>
      <c r="BE18" s="369"/>
      <c r="BG18" s="313"/>
    </row>
    <row r="19" spans="1:59" ht="13.5" customHeight="1" x14ac:dyDescent="0.25">
      <c r="A19" s="296"/>
      <c r="B19" s="116"/>
      <c r="C19" s="117" t="s">
        <v>30</v>
      </c>
      <c r="D19" s="178"/>
      <c r="E19" s="153" t="s">
        <v>84</v>
      </c>
      <c r="F19" s="153" t="s">
        <v>42</v>
      </c>
      <c r="G19" s="153" t="s">
        <v>41</v>
      </c>
      <c r="H19" s="183" t="s">
        <v>77</v>
      </c>
      <c r="I19" s="209" t="s">
        <v>101</v>
      </c>
      <c r="J19" s="210" t="s">
        <v>102</v>
      </c>
      <c r="K19" s="153" t="s">
        <v>98</v>
      </c>
      <c r="L19" s="153" t="s">
        <v>100</v>
      </c>
      <c r="M19" s="153" t="s">
        <v>82</v>
      </c>
      <c r="N19" s="153" t="s">
        <v>31</v>
      </c>
      <c r="O19" s="135" t="s">
        <v>69</v>
      </c>
      <c r="P19" s="153" t="s">
        <v>72</v>
      </c>
      <c r="Q19" s="153" t="s">
        <v>103</v>
      </c>
      <c r="R19" s="183" t="s">
        <v>77</v>
      </c>
      <c r="S19" s="209" t="s">
        <v>105</v>
      </c>
      <c r="T19" s="210" t="s">
        <v>106</v>
      </c>
      <c r="U19" s="178" t="s">
        <v>98</v>
      </c>
      <c r="V19" s="153" t="s">
        <v>100</v>
      </c>
      <c r="W19" s="153" t="s">
        <v>32</v>
      </c>
      <c r="X19" s="153" t="s">
        <v>69</v>
      </c>
      <c r="Y19" s="153"/>
      <c r="Z19" s="153"/>
      <c r="AA19" s="217"/>
      <c r="AB19" s="153" t="s">
        <v>72</v>
      </c>
      <c r="AC19" s="153" t="s">
        <v>103</v>
      </c>
      <c r="AD19" s="153"/>
      <c r="AE19" s="183" t="s">
        <v>77</v>
      </c>
      <c r="AF19" s="209" t="s">
        <v>609</v>
      </c>
      <c r="AG19" s="210" t="s">
        <v>610</v>
      </c>
      <c r="AH19" s="178" t="s">
        <v>98</v>
      </c>
      <c r="AI19" s="153" t="s">
        <v>100</v>
      </c>
      <c r="AJ19" s="153" t="s">
        <v>33</v>
      </c>
      <c r="AK19" s="153" t="s">
        <v>69</v>
      </c>
      <c r="AL19" s="217"/>
      <c r="AM19" s="153" t="s">
        <v>72</v>
      </c>
      <c r="AN19" s="153" t="s">
        <v>103</v>
      </c>
      <c r="AO19" s="153"/>
      <c r="AP19" s="183" t="s">
        <v>77</v>
      </c>
      <c r="AQ19" s="209" t="s">
        <v>611</v>
      </c>
      <c r="AR19" s="210" t="s">
        <v>610</v>
      </c>
      <c r="AS19" s="178" t="s">
        <v>98</v>
      </c>
      <c r="AT19" s="153" t="s">
        <v>100</v>
      </c>
      <c r="AU19" s="153" t="s">
        <v>34</v>
      </c>
      <c r="AV19" s="153" t="s">
        <v>69</v>
      </c>
      <c r="AW19" s="217"/>
      <c r="AX19" s="153"/>
      <c r="AY19" s="153"/>
      <c r="AZ19" s="178"/>
      <c r="BA19" s="276" t="s">
        <v>95</v>
      </c>
      <c r="BB19" s="12"/>
      <c r="BC19" s="227"/>
      <c r="BD19" s="275"/>
      <c r="BE19" s="12"/>
      <c r="BG19" s="313"/>
    </row>
    <row r="20" spans="1:59" ht="13.5" customHeight="1" x14ac:dyDescent="0.25">
      <c r="A20" s="296"/>
      <c r="B20" s="116"/>
      <c r="C20" s="115"/>
      <c r="D20" s="178"/>
      <c r="E20" s="211">
        <f>IF(H25&lt;=H26,H25,H26)</f>
        <v>10</v>
      </c>
      <c r="F20" s="190">
        <f>IF($D$4=2022,1,0)</f>
        <v>0</v>
      </c>
      <c r="G20" s="178">
        <f>IF($B$17="Yes",$C$5,$I17)</f>
        <v>12</v>
      </c>
      <c r="H20" s="191">
        <f>H11</f>
        <v>3</v>
      </c>
      <c r="I20" s="212">
        <f>VLOOKUP(J11,'Lookup Tables'!$AB$22:$AC$31,2,FALSE)</f>
        <v>32</v>
      </c>
      <c r="J20" s="213">
        <f>VLOOKUP(U11,'Lookup Tables'!$AB$32:$AC$41,2,FALSE)</f>
        <v>33</v>
      </c>
      <c r="K20" s="203">
        <f>E20-J20</f>
        <v>-23</v>
      </c>
      <c r="L20" s="178">
        <f>IF(K20&gt;0,1,0)</f>
        <v>0</v>
      </c>
      <c r="M20" s="195">
        <f>M11</f>
        <v>0</v>
      </c>
      <c r="N20" s="196">
        <f>((((('Rate Tables'!B4*9)*0.02778)/5)*K20)*L20)*F20*M20</f>
        <v>0</v>
      </c>
      <c r="O20" s="215">
        <f>O11</f>
        <v>12</v>
      </c>
      <c r="P20" s="197">
        <f>IF(O20&lt;0,O20*0,1)*O20</f>
        <v>12</v>
      </c>
      <c r="Q20" s="203">
        <f>(E20-K20*F20*L20*M20)</f>
        <v>10</v>
      </c>
      <c r="R20" s="191">
        <f>S11</f>
        <v>3</v>
      </c>
      <c r="S20" s="212">
        <f>VLOOKUP(U11,'Lookup Tables'!$AB$22:$AC$31,2,FALSE)</f>
        <v>32</v>
      </c>
      <c r="T20" s="213">
        <f>VLOOKUP(AF11,'Lookup Tables'!$AB$32:$AC$41,2,FALSE)</f>
        <v>33</v>
      </c>
      <c r="U20" s="206">
        <f>Q20-T20</f>
        <v>-23</v>
      </c>
      <c r="V20" s="178">
        <f>IF(U20&gt;0,1,0)</f>
        <v>0</v>
      </c>
      <c r="W20" s="196">
        <f>((('Rate Tables'!C4*9)*0.02778)/5)*U20*F20*V20</f>
        <v>0</v>
      </c>
      <c r="X20" s="197">
        <f>AA11</f>
        <v>2</v>
      </c>
      <c r="Y20" s="178"/>
      <c r="Z20" s="195"/>
      <c r="AA20" s="217"/>
      <c r="AB20" s="197">
        <f>IF(X20&lt;0,X20*0,1)*X20</f>
        <v>2</v>
      </c>
      <c r="AC20" s="203">
        <f>Q20-(U20*V20)</f>
        <v>10</v>
      </c>
      <c r="AD20" s="178"/>
      <c r="AE20" s="191">
        <f>AE11</f>
        <v>1</v>
      </c>
      <c r="AF20" s="212">
        <f>VLOOKUP(AF11,'Lookup Tables'!$AB$22:$AC$31,2,FALSE)</f>
        <v>32</v>
      </c>
      <c r="AG20" s="213">
        <f>VLOOKUP(AQ11,'Lookup Tables'!$AB$32:$AC$41,2,FALSE)</f>
        <v>0</v>
      </c>
      <c r="AH20" s="208">
        <f>AC20-AG20</f>
        <v>10</v>
      </c>
      <c r="AI20" s="178">
        <f>IF(AH20&gt;0,1,0)</f>
        <v>1</v>
      </c>
      <c r="AJ20" s="196">
        <f>((('Rate Tables'!D4*9)*0.02778)/5)*AH20*AI20*F20</f>
        <v>0</v>
      </c>
      <c r="AK20" s="197">
        <f>AL11</f>
        <v>0</v>
      </c>
      <c r="AL20" s="217"/>
      <c r="AM20" s="197">
        <f>IF(AI20&lt;0,AI20*0,1)*AI20</f>
        <v>1</v>
      </c>
      <c r="AN20" s="203">
        <f>AC20-(AH20*AI20)</f>
        <v>0</v>
      </c>
      <c r="AO20" s="178"/>
      <c r="AP20" s="191">
        <f>AP11</f>
        <v>3</v>
      </c>
      <c r="AQ20" s="212">
        <f>VLOOKUP(AQ11,'Lookup Tables'!$AB$22:$AC$31,2,FALSE)</f>
        <v>0</v>
      </c>
      <c r="AR20" s="213">
        <v>0</v>
      </c>
      <c r="AS20" s="208">
        <f>AN20-AR20</f>
        <v>0</v>
      </c>
      <c r="AT20" s="178">
        <f>IF(AS20&gt;0,1,0)</f>
        <v>0</v>
      </c>
      <c r="AU20" s="196">
        <f>((('Rate Tables'!E4*9)*0.02778)/5)*AS20*AT20*F20</f>
        <v>0</v>
      </c>
      <c r="AV20" s="197">
        <f>AW11</f>
        <v>0</v>
      </c>
      <c r="AW20" s="217"/>
      <c r="AX20" s="197"/>
      <c r="AY20" s="197"/>
      <c r="AZ20" s="178"/>
      <c r="BA20" s="716">
        <f>BB17</f>
        <v>10</v>
      </c>
      <c r="BB20" s="225"/>
      <c r="BC20" s="227"/>
      <c r="BD20" s="275"/>
      <c r="BE20" s="12" t="s">
        <v>418</v>
      </c>
      <c r="BG20" s="313"/>
    </row>
    <row r="21" spans="1:59" ht="13.5" customHeight="1" x14ac:dyDescent="0.25">
      <c r="A21" s="296"/>
      <c r="B21" s="116"/>
      <c r="C21" s="117" t="s">
        <v>597</v>
      </c>
      <c r="D21" s="178"/>
      <c r="E21" s="153" t="s">
        <v>84</v>
      </c>
      <c r="F21" s="153" t="s">
        <v>42</v>
      </c>
      <c r="G21" s="153" t="s">
        <v>41</v>
      </c>
      <c r="H21" s="183" t="s">
        <v>77</v>
      </c>
      <c r="I21" s="209" t="s">
        <v>105</v>
      </c>
      <c r="J21" s="210" t="s">
        <v>106</v>
      </c>
      <c r="K21" s="153" t="s">
        <v>99</v>
      </c>
      <c r="L21" s="153" t="s">
        <v>100</v>
      </c>
      <c r="M21" s="153" t="s">
        <v>82</v>
      </c>
      <c r="N21" s="153" t="s">
        <v>32</v>
      </c>
      <c r="O21" s="135" t="s">
        <v>69</v>
      </c>
      <c r="P21" s="153" t="s">
        <v>72</v>
      </c>
      <c r="Q21" s="153" t="s">
        <v>103</v>
      </c>
      <c r="R21" s="183" t="s">
        <v>77</v>
      </c>
      <c r="S21" s="209" t="s">
        <v>105</v>
      </c>
      <c r="T21" s="210" t="s">
        <v>610</v>
      </c>
      <c r="U21" s="178" t="s">
        <v>98</v>
      </c>
      <c r="V21" s="153" t="s">
        <v>100</v>
      </c>
      <c r="W21" s="153" t="s">
        <v>33</v>
      </c>
      <c r="X21" s="153" t="s">
        <v>69</v>
      </c>
      <c r="Y21" s="153"/>
      <c r="Z21" s="153"/>
      <c r="AA21" s="217"/>
      <c r="AB21" s="153" t="s">
        <v>72</v>
      </c>
      <c r="AC21" s="153" t="s">
        <v>104</v>
      </c>
      <c r="AD21" s="153"/>
      <c r="AE21" s="183" t="s">
        <v>77</v>
      </c>
      <c r="AF21" s="209" t="s">
        <v>611</v>
      </c>
      <c r="AG21" s="210" t="s">
        <v>612</v>
      </c>
      <c r="AH21" s="178" t="s">
        <v>98</v>
      </c>
      <c r="AI21" s="153" t="s">
        <v>100</v>
      </c>
      <c r="AJ21" s="153" t="s">
        <v>34</v>
      </c>
      <c r="AK21" s="153" t="s">
        <v>69</v>
      </c>
      <c r="AL21" s="217"/>
      <c r="AM21" s="153" t="s">
        <v>72</v>
      </c>
      <c r="AN21" s="153" t="s">
        <v>104</v>
      </c>
      <c r="AO21" s="153"/>
      <c r="AP21" s="183" t="s">
        <v>77</v>
      </c>
      <c r="AQ21" s="209" t="s">
        <v>613</v>
      </c>
      <c r="AR21" s="210" t="s">
        <v>612</v>
      </c>
      <c r="AS21" s="178" t="s">
        <v>98</v>
      </c>
      <c r="AT21" s="153" t="s">
        <v>100</v>
      </c>
      <c r="AU21" s="153" t="s">
        <v>602</v>
      </c>
      <c r="AV21" s="153" t="s">
        <v>69</v>
      </c>
      <c r="AW21" s="217"/>
      <c r="AX21" s="178"/>
      <c r="AY21" s="178"/>
      <c r="AZ21" s="178"/>
      <c r="BA21" s="227"/>
      <c r="BB21" s="224"/>
      <c r="BC21" s="227" t="s">
        <v>451</v>
      </c>
      <c r="BD21" s="275">
        <f>(VLOOKUP($B9,'Rate Tables'!$O$2:$P$8,2,FALSE))</f>
        <v>0.2697</v>
      </c>
      <c r="BE21" s="372">
        <f>VLOOKUP('F&amp;ARatesCalc'!$B$1,'F&amp;ARatesCalc'!$A$3:$B$5,2,FALSE)</f>
        <v>0.56999999999999995</v>
      </c>
      <c r="BG21" s="313"/>
    </row>
    <row r="22" spans="1:59" ht="13.5" customHeight="1" x14ac:dyDescent="0.25">
      <c r="A22" s="296"/>
      <c r="B22" s="116"/>
      <c r="C22" s="115"/>
      <c r="D22" s="178"/>
      <c r="E22" s="211">
        <f>E20</f>
        <v>10</v>
      </c>
      <c r="F22" s="190">
        <f>IF($D$4=2023,1,0)</f>
        <v>1</v>
      </c>
      <c r="G22" s="178">
        <f>IF($B$17="Yes",$C$5,$I17)</f>
        <v>12</v>
      </c>
      <c r="H22" s="191">
        <f>H13</f>
        <v>3</v>
      </c>
      <c r="I22" s="212">
        <f>VLOOKUP(J13,'Lookup Tables'!$AB$22:$AC$31,2,FALSE)</f>
        <v>32</v>
      </c>
      <c r="J22" s="213">
        <f>VLOOKUP(U13,'Lookup Tables'!$AB$32:$AC$41,2,FALSE)</f>
        <v>33</v>
      </c>
      <c r="K22" s="203">
        <f>E22-J22</f>
        <v>-23</v>
      </c>
      <c r="L22" s="178">
        <f>IF(K22&gt;0,1,0)</f>
        <v>0</v>
      </c>
      <c r="M22" s="195">
        <f>M13</f>
        <v>0</v>
      </c>
      <c r="N22" s="196">
        <f>((((('Rate Tables'!C4*9)*0.02778)/5)*K22)*L22)*F22*M22</f>
        <v>0</v>
      </c>
      <c r="O22" s="215">
        <f>O13</f>
        <v>12</v>
      </c>
      <c r="P22" s="197">
        <f>IF(O22&lt;0,O22*0,1)*O22</f>
        <v>12</v>
      </c>
      <c r="Q22" s="203">
        <f>(E22-K22*F22*L22*M22)</f>
        <v>10</v>
      </c>
      <c r="R22" s="191">
        <f>S13</f>
        <v>3</v>
      </c>
      <c r="S22" s="212">
        <f>VLOOKUP(U13,'Lookup Tables'!$AB$22:$AC$31,2,FALSE)</f>
        <v>32</v>
      </c>
      <c r="T22" s="213">
        <f>VLOOKUP(AF13,'Lookup Tables'!$AB$32:$AC$41,2,FALSE)</f>
        <v>33</v>
      </c>
      <c r="U22" s="206">
        <f>Q22-T22</f>
        <v>-23</v>
      </c>
      <c r="V22" s="178">
        <f>IF(U22&gt;0,1,0)</f>
        <v>0</v>
      </c>
      <c r="W22" s="196">
        <f>((('Rate Tables'!D4*9)*0.02778)/5)*U22*F22*V22</f>
        <v>0</v>
      </c>
      <c r="X22" s="197">
        <f>AA13</f>
        <v>2</v>
      </c>
      <c r="Y22" s="178"/>
      <c r="Z22" s="195"/>
      <c r="AA22" s="217"/>
      <c r="AB22" s="197">
        <f>IF(X22&lt;0,X22*0,1)*X22</f>
        <v>2</v>
      </c>
      <c r="AC22" s="203">
        <f>Q22-(U22*V22)</f>
        <v>10</v>
      </c>
      <c r="AD22" s="178"/>
      <c r="AE22" s="191">
        <f>AE13</f>
        <v>1</v>
      </c>
      <c r="AF22" s="212">
        <f>VLOOKUP(AF13,'Lookup Tables'!$AB$22:$AC$31,2,FALSE)</f>
        <v>32</v>
      </c>
      <c r="AG22" s="213">
        <f>VLOOKUP(AQ13,'Lookup Tables'!$AB$32:$AC$41,2,FALSE)</f>
        <v>0</v>
      </c>
      <c r="AH22" s="208">
        <f>AC22-AG22</f>
        <v>10</v>
      </c>
      <c r="AI22" s="178">
        <f>IF(AH22&gt;0,1,0)</f>
        <v>1</v>
      </c>
      <c r="AJ22" s="196">
        <f>((('Rate Tables'!E4*9)*0.02778)/5)*AH22*AI22*F22</f>
        <v>0</v>
      </c>
      <c r="AK22" s="197">
        <f>AL13</f>
        <v>0</v>
      </c>
      <c r="AL22" s="217"/>
      <c r="AM22" s="197">
        <f>IF(AI22&lt;0,AI22*0,1)*AI22</f>
        <v>1</v>
      </c>
      <c r="AN22" s="203">
        <f>AC22-(AH22*AI22)</f>
        <v>0</v>
      </c>
      <c r="AO22" s="178"/>
      <c r="AP22" s="191">
        <f>AP13</f>
        <v>3</v>
      </c>
      <c r="AQ22" s="212">
        <f>VLOOKUP(AQ13,'Lookup Tables'!$AB$22:$AC$31,2,FALSE)</f>
        <v>0</v>
      </c>
      <c r="AR22" s="213">
        <v>0</v>
      </c>
      <c r="AS22" s="208">
        <f>AN22-AR22</f>
        <v>0</v>
      </c>
      <c r="AT22" s="178">
        <f>IF(AS22&gt;0,1,0)</f>
        <v>0</v>
      </c>
      <c r="AU22" s="196">
        <f>((('Rate Tables'!F4*9)*0.02778)/5)*AS22*AT22*F22</f>
        <v>0</v>
      </c>
      <c r="AV22" s="197">
        <f>AW13</f>
        <v>0</v>
      </c>
      <c r="AW22" s="217"/>
      <c r="AX22" s="178"/>
      <c r="AY22" s="178"/>
      <c r="AZ22" s="178"/>
      <c r="BA22" s="227"/>
      <c r="BB22" s="12"/>
      <c r="BC22" s="227" t="s">
        <v>452</v>
      </c>
      <c r="BD22" s="275">
        <f>_xlfn.IFNA(BD21,0)</f>
        <v>0.2697</v>
      </c>
      <c r="BE22" s="12" t="s">
        <v>417</v>
      </c>
      <c r="BG22" s="313"/>
    </row>
    <row r="23" spans="1:59" ht="13.5" customHeight="1" x14ac:dyDescent="0.25">
      <c r="A23" s="296"/>
      <c r="B23" s="116"/>
      <c r="C23" s="117" t="s">
        <v>664</v>
      </c>
      <c r="D23" s="178"/>
      <c r="E23" s="153" t="s">
        <v>84</v>
      </c>
      <c r="F23" s="153" t="s">
        <v>42</v>
      </c>
      <c r="G23" s="153" t="s">
        <v>41</v>
      </c>
      <c r="H23" s="183" t="s">
        <v>77</v>
      </c>
      <c r="I23" s="209" t="s">
        <v>609</v>
      </c>
      <c r="J23" s="210" t="s">
        <v>610</v>
      </c>
      <c r="K23" s="153" t="s">
        <v>99</v>
      </c>
      <c r="L23" s="153" t="s">
        <v>100</v>
      </c>
      <c r="M23" s="153" t="s">
        <v>82</v>
      </c>
      <c r="N23" s="153" t="s">
        <v>33</v>
      </c>
      <c r="O23" s="135" t="s">
        <v>69</v>
      </c>
      <c r="P23" s="153" t="s">
        <v>72</v>
      </c>
      <c r="Q23" s="153" t="s">
        <v>103</v>
      </c>
      <c r="R23" s="183" t="s">
        <v>77</v>
      </c>
      <c r="S23" s="209" t="s">
        <v>611</v>
      </c>
      <c r="T23" s="210" t="s">
        <v>612</v>
      </c>
      <c r="U23" s="178" t="s">
        <v>98</v>
      </c>
      <c r="V23" s="153" t="s">
        <v>100</v>
      </c>
      <c r="W23" s="153" t="s">
        <v>34</v>
      </c>
      <c r="X23" s="153" t="s">
        <v>69</v>
      </c>
      <c r="Y23" s="153"/>
      <c r="Z23" s="153"/>
      <c r="AA23" s="217"/>
      <c r="AB23" s="153" t="s">
        <v>72</v>
      </c>
      <c r="AC23" s="153" t="s">
        <v>104</v>
      </c>
      <c r="AD23" s="153"/>
      <c r="AE23" s="183" t="s">
        <v>77</v>
      </c>
      <c r="AF23" s="209" t="s">
        <v>613</v>
      </c>
      <c r="AG23" s="210" t="s">
        <v>614</v>
      </c>
      <c r="AH23" s="178" t="s">
        <v>98</v>
      </c>
      <c r="AI23" s="153" t="s">
        <v>100</v>
      </c>
      <c r="AJ23" s="153" t="s">
        <v>602</v>
      </c>
      <c r="AK23" s="153" t="s">
        <v>69</v>
      </c>
      <c r="AL23" s="217"/>
      <c r="AM23" s="153" t="s">
        <v>72</v>
      </c>
      <c r="AN23" s="153" t="s">
        <v>104</v>
      </c>
      <c r="AO23" s="153"/>
      <c r="AP23" s="183" t="s">
        <v>77</v>
      </c>
      <c r="AQ23" s="209" t="s">
        <v>615</v>
      </c>
      <c r="AR23" s="210" t="s">
        <v>614</v>
      </c>
      <c r="AS23" s="178" t="s">
        <v>98</v>
      </c>
      <c r="AT23" s="153" t="s">
        <v>100</v>
      </c>
      <c r="AU23" s="153" t="s">
        <v>616</v>
      </c>
      <c r="AV23" s="153" t="s">
        <v>69</v>
      </c>
      <c r="AW23" s="217"/>
      <c r="AX23" s="178"/>
      <c r="AY23" s="178"/>
      <c r="AZ23" s="178"/>
      <c r="BA23" s="227"/>
      <c r="BB23" s="12"/>
      <c r="BC23" s="227"/>
      <c r="BD23" s="275"/>
      <c r="BE23" s="12"/>
      <c r="BG23" s="313"/>
    </row>
    <row r="24" spans="1:59" ht="13.5" customHeight="1" x14ac:dyDescent="0.25">
      <c r="A24" s="296"/>
      <c r="B24" s="116"/>
      <c r="C24" s="115"/>
      <c r="D24" s="178"/>
      <c r="E24" s="211">
        <f>E22</f>
        <v>10</v>
      </c>
      <c r="F24" s="190">
        <f>IF($D$4=2024,1,0)</f>
        <v>0</v>
      </c>
      <c r="G24" s="178">
        <f>IF($B$17="Yes",$C$5,$I17)</f>
        <v>12</v>
      </c>
      <c r="H24" s="191">
        <f>H15</f>
        <v>3</v>
      </c>
      <c r="I24" s="212">
        <f>VLOOKUP(J15,'Lookup Tables'!$AB$22:$AC$31,2,FALSE)</f>
        <v>32</v>
      </c>
      <c r="J24" s="213">
        <f>VLOOKUP(U15,'Lookup Tables'!$AB$32:$AC$41,2,FALSE)</f>
        <v>33</v>
      </c>
      <c r="K24" s="203">
        <f>E24-J24</f>
        <v>-23</v>
      </c>
      <c r="L24" s="178">
        <f>IF(K24&gt;0,1,0)</f>
        <v>0</v>
      </c>
      <c r="M24" s="195">
        <f>M15</f>
        <v>0</v>
      </c>
      <c r="N24" s="196">
        <f>((((('Rate Tables'!D4*9)*0.02778)/5)*K24)*L24)*F24*M24</f>
        <v>0</v>
      </c>
      <c r="O24" s="215">
        <f>O15</f>
        <v>12</v>
      </c>
      <c r="P24" s="197">
        <f>IF(O24&lt;0,O24*0,1)*O24</f>
        <v>12</v>
      </c>
      <c r="Q24" s="203">
        <f>(E24-K24*F24*L24*M24)</f>
        <v>10</v>
      </c>
      <c r="R24" s="191">
        <f>S15</f>
        <v>3</v>
      </c>
      <c r="S24" s="212">
        <f>VLOOKUP(U15,'Lookup Tables'!$AB$22:$AC$31,2,FALSE)</f>
        <v>32</v>
      </c>
      <c r="T24" s="213">
        <f>VLOOKUP(AF15,'Lookup Tables'!$AB$32:$AC$41,2,FALSE)</f>
        <v>33</v>
      </c>
      <c r="U24" s="206">
        <f>Q24-T24</f>
        <v>-23</v>
      </c>
      <c r="V24" s="178">
        <f>IF(U24&gt;0,1,0)</f>
        <v>0</v>
      </c>
      <c r="W24" s="196">
        <f>((('Rate Tables'!E4*9)*0.02778)/5)*U24*F24*V24</f>
        <v>0</v>
      </c>
      <c r="X24" s="197">
        <f>AA15</f>
        <v>2</v>
      </c>
      <c r="Y24" s="178"/>
      <c r="Z24" s="195"/>
      <c r="AA24" s="217"/>
      <c r="AB24" s="197">
        <f>IF(X24&lt;0,X24*0,1)*X24</f>
        <v>2</v>
      </c>
      <c r="AC24" s="203">
        <f>Q24-(U24*V24)</f>
        <v>10</v>
      </c>
      <c r="AD24" s="178"/>
      <c r="AE24" s="191">
        <f>AE15</f>
        <v>1</v>
      </c>
      <c r="AF24" s="212">
        <f>VLOOKUP(AF15,'Lookup Tables'!$AB$22:$AC$31,2,FALSE)</f>
        <v>32</v>
      </c>
      <c r="AG24" s="213">
        <f>VLOOKUP(AQ15,'Lookup Tables'!$AB$32:$AC$41,2,FALSE)</f>
        <v>0</v>
      </c>
      <c r="AH24" s="208">
        <f>AC24-AG24</f>
        <v>10</v>
      </c>
      <c r="AI24" s="178">
        <f>IF(AH24&gt;0,1,0)</f>
        <v>1</v>
      </c>
      <c r="AJ24" s="196">
        <f>((('Rate Tables'!F4*9)*0.02778)/5)*AH24*AI24*F24</f>
        <v>0</v>
      </c>
      <c r="AK24" s="197">
        <f>AL15</f>
        <v>0</v>
      </c>
      <c r="AL24" s="217"/>
      <c r="AM24" s="197">
        <f>IF(AI24&lt;0,AI24*0,1)*AI24</f>
        <v>1</v>
      </c>
      <c r="AN24" s="203">
        <f>AC24-(AH24*AI24)</f>
        <v>0</v>
      </c>
      <c r="AO24" s="178"/>
      <c r="AP24" s="191">
        <f>AP15</f>
        <v>3</v>
      </c>
      <c r="AQ24" s="212">
        <f>VLOOKUP(AQ15,'Lookup Tables'!$AB$22:$AC$31,2,FALSE)</f>
        <v>0</v>
      </c>
      <c r="AR24" s="213">
        <v>0</v>
      </c>
      <c r="AS24" s="208">
        <f>AN24-AR24</f>
        <v>0</v>
      </c>
      <c r="AT24" s="178">
        <f>IF(AS24&gt;0,1,0)</f>
        <v>0</v>
      </c>
      <c r="AU24" s="196">
        <f>((('Rate Tables'!G4*9)*0.02778)/5)*AS24*AT24*F24</f>
        <v>0</v>
      </c>
      <c r="AV24" s="197">
        <f>AW15</f>
        <v>0</v>
      </c>
      <c r="AW24" s="217"/>
      <c r="AX24" s="178"/>
      <c r="AY24" s="178"/>
      <c r="AZ24" s="178"/>
      <c r="BA24" s="227"/>
      <c r="BB24" s="12"/>
      <c r="BC24" s="227"/>
      <c r="BD24" s="275"/>
      <c r="BE24" s="12"/>
      <c r="BG24" s="313"/>
    </row>
    <row r="25" spans="1:59" ht="13.5" customHeight="1" thickBot="1" x14ac:dyDescent="0.3">
      <c r="A25" s="296"/>
      <c r="B25" s="116"/>
      <c r="C25" s="114"/>
      <c r="D25" s="178"/>
      <c r="E25" s="178"/>
      <c r="F25" s="178"/>
      <c r="G25" s="491" t="s">
        <v>559</v>
      </c>
      <c r="H25" s="206">
        <f>BA20</f>
        <v>10</v>
      </c>
      <c r="I25" s="178"/>
      <c r="J25" s="178"/>
      <c r="K25" s="178"/>
      <c r="L25" s="178"/>
      <c r="M25" s="178"/>
      <c r="N25" s="178"/>
      <c r="O25" s="217"/>
      <c r="P25" s="178"/>
      <c r="Q25" s="178"/>
      <c r="R25" s="178"/>
      <c r="S25" s="178"/>
      <c r="T25" s="178"/>
      <c r="U25" s="178"/>
      <c r="V25" s="178"/>
      <c r="W25" s="178"/>
      <c r="X25" s="178"/>
      <c r="Y25" s="178"/>
      <c r="Z25" s="178"/>
      <c r="AA25" s="217"/>
      <c r="AB25" s="178"/>
      <c r="AC25" s="178"/>
      <c r="AD25" s="178"/>
      <c r="AE25" s="178"/>
      <c r="AF25" s="178"/>
      <c r="AG25" s="178"/>
      <c r="AH25" s="178"/>
      <c r="AI25" s="178"/>
      <c r="AJ25" s="178"/>
      <c r="AK25" s="178"/>
      <c r="AL25" s="217"/>
      <c r="AM25" s="178"/>
      <c r="AN25" s="178"/>
      <c r="AO25" s="178"/>
      <c r="AP25" s="178"/>
      <c r="AQ25" s="178"/>
      <c r="AR25" s="178"/>
      <c r="AS25" s="178"/>
      <c r="AT25" s="178"/>
      <c r="AU25" s="178"/>
      <c r="AV25" s="178"/>
      <c r="AW25" s="217"/>
      <c r="AX25" s="178"/>
      <c r="AY25" s="178"/>
      <c r="AZ25" s="178"/>
      <c r="BA25" s="307"/>
      <c r="BB25" s="12"/>
      <c r="BC25" s="227" t="s">
        <v>453</v>
      </c>
      <c r="BD25" s="275">
        <f>IF(BD22=0,0,BD21)</f>
        <v>0.2697</v>
      </c>
      <c r="BE25" s="12">
        <f>(BD18+BD26)*BE21</f>
        <v>0</v>
      </c>
      <c r="BG25" s="313"/>
    </row>
    <row r="26" spans="1:59" ht="13.5" customHeight="1" thickBot="1" x14ac:dyDescent="0.3">
      <c r="A26" s="390">
        <f>Personnel!M10</f>
        <v>0</v>
      </c>
      <c r="B26" s="273">
        <f>Personnel!M11</f>
        <v>0</v>
      </c>
      <c r="C26" s="114"/>
      <c r="D26" s="178"/>
      <c r="E26" s="178"/>
      <c r="F26" s="178"/>
      <c r="G26" s="491" t="s">
        <v>560</v>
      </c>
      <c r="H26" s="178">
        <f>VLOOKUP(H20,'Lookup Tables'!$L$62:$Y$74,MATCH(G20,'Lookup Tables'!$L$62:$Y$62,FALSE))</f>
        <v>65</v>
      </c>
      <c r="I26" s="178"/>
      <c r="J26" s="178"/>
      <c r="K26" s="178"/>
      <c r="L26" s="178"/>
      <c r="M26" s="178"/>
      <c r="N26" s="178"/>
      <c r="O26" s="217"/>
      <c r="P26" s="178"/>
      <c r="Q26" s="178"/>
      <c r="R26" s="178"/>
      <c r="S26" s="178"/>
      <c r="T26" s="178"/>
      <c r="U26" s="178"/>
      <c r="V26" s="178"/>
      <c r="W26" s="178"/>
      <c r="X26" s="178"/>
      <c r="Y26" s="178"/>
      <c r="Z26" s="178"/>
      <c r="AA26" s="217"/>
      <c r="AB26" s="178"/>
      <c r="AC26" s="178"/>
      <c r="AD26" s="178"/>
      <c r="AE26" s="178"/>
      <c r="AF26" s="178"/>
      <c r="AG26" s="178"/>
      <c r="AH26" s="178"/>
      <c r="AI26" s="178"/>
      <c r="AJ26" s="178"/>
      <c r="AK26" s="178"/>
      <c r="AL26" s="217"/>
      <c r="AM26" s="178"/>
      <c r="AN26" s="178"/>
      <c r="AO26" s="178"/>
      <c r="AP26" s="178"/>
      <c r="AQ26" s="178"/>
      <c r="AR26" s="178"/>
      <c r="AS26" s="178"/>
      <c r="AT26" s="178"/>
      <c r="AU26" s="178"/>
      <c r="AV26" s="178"/>
      <c r="AW26" s="217"/>
      <c r="AX26" s="178"/>
      <c r="AY26" s="178"/>
      <c r="AZ26" s="178"/>
      <c r="BA26" s="309"/>
      <c r="BB26" s="274"/>
      <c r="BC26" s="278" t="s">
        <v>415</v>
      </c>
      <c r="BD26" s="279">
        <f>BD18*BD25</f>
        <v>0</v>
      </c>
      <c r="BE26" s="373">
        <f>BD18+BD26+BE25</f>
        <v>0</v>
      </c>
      <c r="BG26" s="313"/>
    </row>
    <row r="27" spans="1:59" ht="6" customHeight="1" thickBot="1" x14ac:dyDescent="0.3">
      <c r="A27" s="297"/>
      <c r="B27" s="149"/>
      <c r="C27" s="149"/>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80"/>
      <c r="BB27" s="149"/>
      <c r="BC27" s="280"/>
      <c r="BD27" s="281"/>
      <c r="BE27" s="374"/>
    </row>
    <row r="28" spans="1:59" ht="13.5" customHeight="1" x14ac:dyDescent="0.25">
      <c r="A28" s="298" t="s">
        <v>174</v>
      </c>
      <c r="B28" s="294" t="s">
        <v>336</v>
      </c>
      <c r="C28" s="259" t="s">
        <v>605</v>
      </c>
      <c r="D28" s="181"/>
      <c r="E28" s="181"/>
      <c r="F28" s="181"/>
      <c r="G28" s="181"/>
      <c r="H28" s="181"/>
      <c r="I28" s="181"/>
      <c r="J28" s="181"/>
      <c r="K28" s="181"/>
      <c r="L28" s="181"/>
      <c r="M28" s="181"/>
      <c r="N28" s="181"/>
      <c r="O28" s="181">
        <v>21</v>
      </c>
      <c r="P28" s="181"/>
      <c r="Q28" s="181"/>
      <c r="R28" s="181"/>
      <c r="S28" s="181"/>
      <c r="T28" s="181"/>
      <c r="U28" s="181"/>
      <c r="V28" s="181"/>
      <c r="W28" s="181"/>
      <c r="X28" s="181"/>
      <c r="Y28" s="181"/>
      <c r="Z28" s="493">
        <v>44378</v>
      </c>
      <c r="AA28" s="493">
        <v>44742</v>
      </c>
      <c r="AB28" s="181"/>
      <c r="AC28" s="181"/>
      <c r="AD28" s="181"/>
      <c r="AE28" s="181"/>
      <c r="AF28" s="181"/>
      <c r="AG28" s="181"/>
      <c r="AH28" s="181"/>
      <c r="AI28" s="181"/>
      <c r="AJ28" s="181"/>
      <c r="AK28" s="181"/>
      <c r="AL28" s="181">
        <v>23</v>
      </c>
      <c r="AM28" s="181"/>
      <c r="AN28" s="181"/>
      <c r="AO28" s="181"/>
      <c r="AP28" s="181"/>
      <c r="AQ28" s="181"/>
      <c r="AR28" s="181"/>
      <c r="AS28" s="181"/>
      <c r="AT28" s="181"/>
      <c r="AU28" s="181"/>
      <c r="AV28" s="181"/>
      <c r="AW28" s="181">
        <v>23</v>
      </c>
      <c r="AX28" s="181"/>
      <c r="AY28" s="181"/>
      <c r="AZ28" s="181"/>
      <c r="BA28" s="282"/>
      <c r="BB28" s="144"/>
      <c r="BC28" s="282"/>
      <c r="BD28" s="283"/>
      <c r="BE28" s="12"/>
      <c r="BG28" s="313"/>
    </row>
    <row r="29" spans="1:59" ht="13.5" customHeight="1" x14ac:dyDescent="0.25">
      <c r="A29" s="345">
        <f>Personnel!C16</f>
        <v>0</v>
      </c>
      <c r="B29" s="346" t="str">
        <f>Personnel!C15</f>
        <v>Faculty</v>
      </c>
      <c r="C29" s="347">
        <f>Personnel!C17</f>
        <v>0</v>
      </c>
      <c r="D29" s="178"/>
      <c r="E29" s="178"/>
      <c r="F29" s="178"/>
      <c r="G29" s="178"/>
      <c r="H29" s="178"/>
      <c r="I29" s="178"/>
      <c r="J29" s="178"/>
      <c r="K29" s="178"/>
      <c r="L29" s="178"/>
      <c r="M29" s="178"/>
      <c r="N29" s="178"/>
      <c r="O29" s="178">
        <v>22</v>
      </c>
      <c r="P29" s="178"/>
      <c r="Q29" s="178"/>
      <c r="R29" s="178"/>
      <c r="S29" s="178"/>
      <c r="T29" s="178"/>
      <c r="U29" s="178"/>
      <c r="V29" s="178"/>
      <c r="W29" s="178"/>
      <c r="X29" s="178"/>
      <c r="Y29" s="178"/>
      <c r="Z29" s="178"/>
      <c r="AA29" s="178">
        <v>23</v>
      </c>
      <c r="AB29" s="178"/>
      <c r="AC29" s="178"/>
      <c r="AD29" s="178"/>
      <c r="AE29" s="178"/>
      <c r="AF29" s="178"/>
      <c r="AG29" s="178"/>
      <c r="AH29" s="178"/>
      <c r="AI29" s="178"/>
      <c r="AJ29" s="178"/>
      <c r="AK29" s="178"/>
      <c r="AL29" s="178">
        <v>24</v>
      </c>
      <c r="AM29" s="178"/>
      <c r="AN29" s="178"/>
      <c r="AO29" s="178"/>
      <c r="AP29" s="178"/>
      <c r="AQ29" s="178"/>
      <c r="AR29" s="178"/>
      <c r="AS29" s="178"/>
      <c r="AT29" s="178"/>
      <c r="AU29" s="178"/>
      <c r="AV29" s="178"/>
      <c r="AW29" s="178">
        <v>24</v>
      </c>
      <c r="AX29" s="178"/>
      <c r="AY29" s="178"/>
      <c r="AZ29" s="178"/>
      <c r="BA29" s="306" t="s">
        <v>172</v>
      </c>
      <c r="BB29" s="348">
        <f>Personnel!O15</f>
        <v>0</v>
      </c>
      <c r="BC29" s="276" t="s">
        <v>414</v>
      </c>
      <c r="BD29" s="277">
        <f>(N31+N33+N35+Z31+Z33+Z35+AK31+AK33+AK35+AV31+AV33+AV35)*BB36</f>
        <v>0</v>
      </c>
      <c r="BE29" s="224"/>
      <c r="BG29" s="313"/>
    </row>
    <row r="30" spans="1:59" ht="13.5" customHeight="1" x14ac:dyDescent="0.25">
      <c r="A30" s="296"/>
      <c r="B30" s="116"/>
      <c r="C30" s="117" t="s">
        <v>30</v>
      </c>
      <c r="D30" s="178"/>
      <c r="E30" s="153" t="s">
        <v>16</v>
      </c>
      <c r="F30" s="153" t="s">
        <v>42</v>
      </c>
      <c r="G30" s="153" t="s">
        <v>41</v>
      </c>
      <c r="H30" s="183" t="s">
        <v>77</v>
      </c>
      <c r="I30" s="184" t="s">
        <v>90</v>
      </c>
      <c r="J30" s="185" t="s">
        <v>70</v>
      </c>
      <c r="K30" s="186" t="s">
        <v>93</v>
      </c>
      <c r="L30" s="153" t="s">
        <v>35</v>
      </c>
      <c r="M30" s="153" t="s">
        <v>82</v>
      </c>
      <c r="N30" s="153" t="s">
        <v>31</v>
      </c>
      <c r="O30" s="153" t="s">
        <v>69</v>
      </c>
      <c r="P30" s="153" t="s">
        <v>72</v>
      </c>
      <c r="Q30" s="183" t="s">
        <v>80</v>
      </c>
      <c r="R30" s="187" t="s">
        <v>81</v>
      </c>
      <c r="S30" s="183" t="s">
        <v>77</v>
      </c>
      <c r="T30" s="598" t="s">
        <v>83</v>
      </c>
      <c r="U30" s="185" t="s">
        <v>70</v>
      </c>
      <c r="V30" s="153" t="s">
        <v>91</v>
      </c>
      <c r="W30" s="153" t="s">
        <v>43</v>
      </c>
      <c r="X30" s="153" t="s">
        <v>53</v>
      </c>
      <c r="Y30" s="153" t="s">
        <v>68</v>
      </c>
      <c r="Z30" s="153" t="s">
        <v>32</v>
      </c>
      <c r="AA30" s="153" t="s">
        <v>69</v>
      </c>
      <c r="AB30" s="153" t="s">
        <v>72</v>
      </c>
      <c r="AC30" s="153" t="s">
        <v>80</v>
      </c>
      <c r="AD30" s="187" t="s">
        <v>81</v>
      </c>
      <c r="AE30" s="183" t="s">
        <v>77</v>
      </c>
      <c r="AF30" s="185" t="s">
        <v>70</v>
      </c>
      <c r="AG30" s="153" t="s">
        <v>92</v>
      </c>
      <c r="AH30" s="153" t="s">
        <v>44</v>
      </c>
      <c r="AI30" s="153" t="s">
        <v>78</v>
      </c>
      <c r="AJ30" s="153" t="s">
        <v>68</v>
      </c>
      <c r="AK30" s="153" t="s">
        <v>33</v>
      </c>
      <c r="AL30" s="153" t="s">
        <v>69</v>
      </c>
      <c r="AM30" s="153" t="s">
        <v>72</v>
      </c>
      <c r="AN30" s="153" t="s">
        <v>80</v>
      </c>
      <c r="AO30" s="187" t="s">
        <v>81</v>
      </c>
      <c r="AP30" s="183" t="s">
        <v>77</v>
      </c>
      <c r="AQ30" s="185" t="s">
        <v>70</v>
      </c>
      <c r="AR30" s="153" t="s">
        <v>92</v>
      </c>
      <c r="AS30" s="153" t="s">
        <v>44</v>
      </c>
      <c r="AT30" s="153" t="s">
        <v>78</v>
      </c>
      <c r="AU30" s="153" t="s">
        <v>68</v>
      </c>
      <c r="AV30" s="153" t="s">
        <v>33</v>
      </c>
      <c r="AW30" s="153" t="s">
        <v>69</v>
      </c>
      <c r="AX30" s="153"/>
      <c r="AY30" s="153"/>
      <c r="AZ30" s="178"/>
      <c r="BA30" s="227"/>
      <c r="BB30" s="349"/>
      <c r="BC30" s="227"/>
      <c r="BD30" s="275"/>
      <c r="BE30" s="12"/>
    </row>
    <row r="31" spans="1:59" ht="13.5" customHeight="1" x14ac:dyDescent="0.25">
      <c r="A31" s="296"/>
      <c r="B31" s="116"/>
      <c r="C31" s="115"/>
      <c r="D31" s="178"/>
      <c r="E31" s="189">
        <f>BB29</f>
        <v>0</v>
      </c>
      <c r="F31" s="190">
        <f>IF($D$4=2022,1,0)</f>
        <v>0</v>
      </c>
      <c r="G31" s="178">
        <f>IF($B37="Yes",$C$5,$I37)</f>
        <v>12</v>
      </c>
      <c r="H31" s="191">
        <f>VLOOKUP(H36,'Lookup Tables'!$A$22:$B$33,2,FALSE)</f>
        <v>3</v>
      </c>
      <c r="I31" s="192">
        <f>VLOOKUP($E$4,'Lookup Tables'!$AB$46:$AN$58,MATCH($H31,'Lookup Tables'!$AB$46:$AN$46),FALSE)</f>
        <v>12</v>
      </c>
      <c r="J31" s="193">
        <f>VLOOKUP(H31,'Lookup Tables'!$A$3:$AA$16,MATCH(PersonCalcYr2!$G31,'Lookup Tables'!$A$3:$AA$3),FALSE)</f>
        <v>1.5161</v>
      </c>
      <c r="K31" s="194">
        <f>VLOOKUP(H36,'Lookup Tables'!$K$23:$L$34,2,FALSE)</f>
        <v>0</v>
      </c>
      <c r="L31" s="178">
        <f>IF(G31&lt;=K31,G31,K31)</f>
        <v>0</v>
      </c>
      <c r="M31" s="195">
        <f>IF(12-I31&gt;=1,1,0)</f>
        <v>0</v>
      </c>
      <c r="N31" s="196">
        <f>(('Rate Tables'!B9*PersonCalcYr2!E31)*PersonCalcYr2!L31)*PersonCalcYr2!F31*M31</f>
        <v>0</v>
      </c>
      <c r="O31" s="197">
        <f>G31-((J31+L31)*M31)</f>
        <v>12</v>
      </c>
      <c r="P31" s="197">
        <f>IF(O31&lt;0,O31*0,1)*O31</f>
        <v>12</v>
      </c>
      <c r="Q31" s="198">
        <f>H31+(L31*M31)+(J31*M31)</f>
        <v>3</v>
      </c>
      <c r="R31" s="199" t="str">
        <f>VLOOKUP(Q31,'Lookup Tables'!$A$38:$B$151,2,FALSE)</f>
        <v>Sept</v>
      </c>
      <c r="S31" s="191">
        <f>VLOOKUP(R31,'Lookup Tables'!$A$22:$B$33,2,FALSE)</f>
        <v>3</v>
      </c>
      <c r="T31" s="599">
        <f>VLOOKUP($E$4,'Lookup Tables'!$AB$63:$AN$75,MATCH(PersonCalcYr2!$S31,'Lookup Tables'!$AB$63:$AN$63),FALSE)</f>
        <v>0.5161</v>
      </c>
      <c r="U31" s="200">
        <f>VLOOKUP(S31,'Lookup Tables'!$A$3:$AA$16,MATCH(PersonCalcYr2!$P31,'Lookup Tables'!$A$3:$AA$3),FALSE)</f>
        <v>1.5161</v>
      </c>
      <c r="V31" s="496">
        <f>9-T31</f>
        <v>8.4839000000000002</v>
      </c>
      <c r="W31" s="201">
        <f>P31-U31</f>
        <v>10.4839</v>
      </c>
      <c r="X31" s="195">
        <f>IF(V31&lt;=W31,V31,W31)</f>
        <v>8.4839000000000002</v>
      </c>
      <c r="Y31" s="195">
        <f>IF(12-T31-U31-X31&gt;=0,1,0)</f>
        <v>1</v>
      </c>
      <c r="Z31" s="202">
        <f>((('Rate Tables'!C9*$E31)*PersonCalcYr2!$X31)*$F31)*Y31</f>
        <v>0</v>
      </c>
      <c r="AA31" s="197">
        <f>O31-(((U31*U37)+X31)*Y31)</f>
        <v>2</v>
      </c>
      <c r="AB31" s="197">
        <f>IF(AA31&lt;0,AA31*0,1)*AA31</f>
        <v>2</v>
      </c>
      <c r="AC31" s="601">
        <f>S31+(X31*Y31)+((U31*U37)*Y31)</f>
        <v>13</v>
      </c>
      <c r="AD31" s="199" t="str">
        <f>VLOOKUP(AC31,'Lookup Tables'!$A$38:$B$151,2,FALSE)</f>
        <v>July</v>
      </c>
      <c r="AE31" s="191">
        <f>VLOOKUP(AD31,'Lookup Tables'!$A$22:$B$33,2,FALSE)</f>
        <v>1</v>
      </c>
      <c r="AF31" s="200">
        <f>VLOOKUP(AE31,'Lookup Tables'!$A$3:$AA$16,MATCH(PersonCalcYr2!AB31,'Lookup Tables'!$A$3:$AA$3),FALSE)</f>
        <v>1.4839</v>
      </c>
      <c r="AG31" s="178">
        <v>9</v>
      </c>
      <c r="AH31" s="201">
        <f>AB31-AF31</f>
        <v>0.5161</v>
      </c>
      <c r="AI31" s="195">
        <f>IF(AG31&lt;=AH31,AG31,AH31)</f>
        <v>0.5161</v>
      </c>
      <c r="AJ31" s="195">
        <f>IF((AG31+AF31)&lt;=0,0,1)</f>
        <v>1</v>
      </c>
      <c r="AK31" s="204">
        <f>((('Rate Tables'!D9*$E31)*PersonCalcYr2!AI31)*$F31)*AJ31</f>
        <v>0</v>
      </c>
      <c r="AL31" s="197">
        <f>AB31-AF31-AI31</f>
        <v>0</v>
      </c>
      <c r="AM31" s="197">
        <f>IF(AL31&lt;0,AL31*0,1)*AL31</f>
        <v>0</v>
      </c>
      <c r="AN31" s="203">
        <f>AE31+(AI31*AJ31)+((AF31*AF37)*AJ31)</f>
        <v>3</v>
      </c>
      <c r="AO31" s="199" t="str">
        <f>VLOOKUP(AN31,'Lookup Tables'!$A$38:$B$151,2,FALSE)</f>
        <v>Sept</v>
      </c>
      <c r="AP31" s="191">
        <f>VLOOKUP(AO31,'Lookup Tables'!$A$22:$B$33,2,FALSE)</f>
        <v>3</v>
      </c>
      <c r="AQ31" s="200">
        <f>VLOOKUP(AP31,'Lookup Tables'!$A$3:$AA$16,MATCH(PersonCalcYr2!AM31,'Lookup Tables'!$A$3:$AA$3),FALSE)</f>
        <v>0</v>
      </c>
      <c r="AR31" s="178">
        <v>9</v>
      </c>
      <c r="AS31" s="201">
        <f>AM31-AQ31</f>
        <v>0</v>
      </c>
      <c r="AT31" s="195">
        <f>IF(AR31&lt;=AS31,AR31,AS31)</f>
        <v>0</v>
      </c>
      <c r="AU31" s="195">
        <f>IF((AR31+AQ31)&lt;=0,0,1)</f>
        <v>1</v>
      </c>
      <c r="AV31" s="204">
        <f>((('Rate Tables'!E9*$E31)*PersonCalcYr2!AT31)*$F31)*AU31</f>
        <v>0</v>
      </c>
      <c r="AW31" s="197">
        <f>AM31-AQ31-AT31</f>
        <v>0</v>
      </c>
      <c r="AX31" s="197"/>
      <c r="AY31" s="197"/>
      <c r="AZ31" s="178"/>
      <c r="BA31" s="227"/>
      <c r="BB31" s="350"/>
      <c r="BC31" s="227"/>
      <c r="BD31" s="275"/>
      <c r="BE31" s="12"/>
    </row>
    <row r="32" spans="1:59" ht="13.5" customHeight="1" x14ac:dyDescent="0.25">
      <c r="A32" s="296"/>
      <c r="B32" s="116"/>
      <c r="C32" s="117" t="s">
        <v>597</v>
      </c>
      <c r="D32" s="178"/>
      <c r="E32" s="153" t="s">
        <v>16</v>
      </c>
      <c r="F32" s="153" t="s">
        <v>42</v>
      </c>
      <c r="G32" s="153" t="s">
        <v>41</v>
      </c>
      <c r="H32" s="183" t="s">
        <v>77</v>
      </c>
      <c r="I32" s="184" t="s">
        <v>90</v>
      </c>
      <c r="J32" s="185" t="s">
        <v>70</v>
      </c>
      <c r="K32" s="186" t="s">
        <v>109</v>
      </c>
      <c r="L32" s="153" t="s">
        <v>53</v>
      </c>
      <c r="M32" s="153" t="s">
        <v>82</v>
      </c>
      <c r="N32" s="153" t="s">
        <v>32</v>
      </c>
      <c r="O32" s="153" t="s">
        <v>69</v>
      </c>
      <c r="P32" s="153" t="s">
        <v>72</v>
      </c>
      <c r="Q32" s="183" t="s">
        <v>80</v>
      </c>
      <c r="R32" s="187" t="s">
        <v>81</v>
      </c>
      <c r="S32" s="183" t="s">
        <v>77</v>
      </c>
      <c r="T32" s="598" t="s">
        <v>83</v>
      </c>
      <c r="U32" s="185" t="s">
        <v>70</v>
      </c>
      <c r="V32" s="153" t="s">
        <v>92</v>
      </c>
      <c r="W32" s="153" t="s">
        <v>44</v>
      </c>
      <c r="X32" s="153" t="s">
        <v>78</v>
      </c>
      <c r="Y32" s="153" t="s">
        <v>68</v>
      </c>
      <c r="Z32" s="153" t="s">
        <v>33</v>
      </c>
      <c r="AA32" s="153" t="s">
        <v>69</v>
      </c>
      <c r="AB32" s="153" t="s">
        <v>72</v>
      </c>
      <c r="AC32" s="153" t="s">
        <v>80</v>
      </c>
      <c r="AD32" s="187" t="s">
        <v>81</v>
      </c>
      <c r="AE32" s="183" t="s">
        <v>77</v>
      </c>
      <c r="AF32" s="185" t="s">
        <v>70</v>
      </c>
      <c r="AG32" s="153" t="s">
        <v>94</v>
      </c>
      <c r="AH32" s="153" t="s">
        <v>45</v>
      </c>
      <c r="AI32" s="153" t="s">
        <v>79</v>
      </c>
      <c r="AJ32" s="153" t="s">
        <v>68</v>
      </c>
      <c r="AK32" s="153" t="s">
        <v>34</v>
      </c>
      <c r="AL32" s="153" t="s">
        <v>69</v>
      </c>
      <c r="AM32" s="153" t="s">
        <v>72</v>
      </c>
      <c r="AN32" s="153" t="s">
        <v>80</v>
      </c>
      <c r="AO32" s="187" t="s">
        <v>81</v>
      </c>
      <c r="AP32" s="183" t="s">
        <v>77</v>
      </c>
      <c r="AQ32" s="185" t="s">
        <v>70</v>
      </c>
      <c r="AR32" s="153" t="s">
        <v>94</v>
      </c>
      <c r="AS32" s="153" t="s">
        <v>45</v>
      </c>
      <c r="AT32" s="153" t="s">
        <v>79</v>
      </c>
      <c r="AU32" s="153" t="s">
        <v>68</v>
      </c>
      <c r="AV32" s="153" t="s">
        <v>34</v>
      </c>
      <c r="AW32" s="153" t="s">
        <v>69</v>
      </c>
      <c r="AX32" s="153"/>
      <c r="AY32" s="153"/>
      <c r="AZ32" s="178"/>
      <c r="BA32" s="227"/>
      <c r="BB32" s="351"/>
      <c r="BC32" s="227"/>
      <c r="BD32" s="275"/>
      <c r="BE32" s="12"/>
    </row>
    <row r="33" spans="1:57" ht="13.5" customHeight="1" x14ac:dyDescent="0.25">
      <c r="A33" s="296"/>
      <c r="B33" s="116"/>
      <c r="C33" s="115"/>
      <c r="D33" s="178"/>
      <c r="E33" s="189">
        <f>BB29</f>
        <v>0</v>
      </c>
      <c r="F33" s="190">
        <f>IF($D$4=2023,1,0)</f>
        <v>1</v>
      </c>
      <c r="G33" s="178">
        <f>IF($B37="Yes",$C$5,$I37)</f>
        <v>12</v>
      </c>
      <c r="H33" s="191">
        <f>VLOOKUP(H36,'Lookup Tables'!$A$22:$B$33,2,FALSE)</f>
        <v>3</v>
      </c>
      <c r="I33" s="192">
        <f>VLOOKUP($E$4,'Lookup Tables'!$AB$46:$AN$58,MATCH($H33,'Lookup Tables'!$AB$46:$AN$46),FALSE)</f>
        <v>12</v>
      </c>
      <c r="J33" s="193">
        <f>VLOOKUP(H33,'Lookup Tables'!$A$3:$AA$16,MATCH(PersonCalcYr2!$G33,'Lookup Tables'!$A$3:$AA$3),FALSE)</f>
        <v>1.5161</v>
      </c>
      <c r="K33" s="194">
        <f>VLOOKUP(H36,'Lookup Tables'!$K$23:$L$34,2,FALSE)</f>
        <v>0</v>
      </c>
      <c r="L33" s="178">
        <f>IF(G33&lt;=K33,G33,K33)</f>
        <v>0</v>
      </c>
      <c r="M33" s="195">
        <f>IF(12-I33&gt;=1,1,0)</f>
        <v>0</v>
      </c>
      <c r="N33" s="196">
        <f>(('Rate Tables'!C9*PersonCalcYr2!E33)*PersonCalcYr2!L33)*PersonCalcYr2!F33*M33</f>
        <v>0</v>
      </c>
      <c r="O33" s="197">
        <f>G33-((J33+L33)*M33)</f>
        <v>12</v>
      </c>
      <c r="P33" s="197">
        <f>IF(O33&lt;0,O33*0,1)*O33</f>
        <v>12</v>
      </c>
      <c r="Q33" s="198">
        <f>H33+(L33*M33)+(J33*M33)</f>
        <v>3</v>
      </c>
      <c r="R33" s="199" t="str">
        <f>VLOOKUP(Q33,'Lookup Tables'!$A$38:$B$151,2,FALSE)</f>
        <v>Sept</v>
      </c>
      <c r="S33" s="191">
        <f>VLOOKUP(R33,'Lookup Tables'!$A$22:$B$33,2,FALSE)</f>
        <v>3</v>
      </c>
      <c r="T33" s="599">
        <f>VLOOKUP($E$4,'Lookup Tables'!$AB$63:$AN$75,MATCH(PersonCalcYr2!$S33,'Lookup Tables'!$AB$63:$AN$63),FALSE)</f>
        <v>0.5161</v>
      </c>
      <c r="U33" s="200">
        <f>VLOOKUP(S33,'Lookup Tables'!$A$3:$AA$16,MATCH(PersonCalcYr2!$P33,'Lookup Tables'!$A$3:$AA$3),FALSE)</f>
        <v>1.5161</v>
      </c>
      <c r="V33" s="496">
        <f>9-T33</f>
        <v>8.4839000000000002</v>
      </c>
      <c r="W33" s="201">
        <f>P33-U33</f>
        <v>10.4839</v>
      </c>
      <c r="X33" s="195">
        <f>IF(V33&lt;=W33,V33,W33)</f>
        <v>8.4839000000000002</v>
      </c>
      <c r="Y33" s="195">
        <f>IF(12-T33-U33-X33&gt;=0,1,0)</f>
        <v>1</v>
      </c>
      <c r="Z33" s="202">
        <f>((('Rate Tables'!D9*$E33)*PersonCalcYr2!$X33)*$F33)*Y33</f>
        <v>0</v>
      </c>
      <c r="AA33" s="197">
        <f>O33-(((U33*U37)+X33)*Y33)</f>
        <v>2</v>
      </c>
      <c r="AB33" s="197">
        <f>IF(AA33&lt;0,AA33*0,1)*AA33</f>
        <v>2</v>
      </c>
      <c r="AC33" s="601">
        <f>S33+(X33*Y33)+((U33*U37)*Y33)</f>
        <v>13</v>
      </c>
      <c r="AD33" s="199" t="str">
        <f>VLOOKUP(AC33,'Lookup Tables'!$A$38:$B$151,2,FALSE)</f>
        <v>July</v>
      </c>
      <c r="AE33" s="191">
        <f>VLOOKUP(AD33,'Lookup Tables'!$A$22:$B$33,2,FALSE)</f>
        <v>1</v>
      </c>
      <c r="AF33" s="200">
        <f>VLOOKUP(AE33,'Lookup Tables'!$A$3:$AA$16,MATCH(PersonCalcYr2!AB33,'Lookup Tables'!$A$3:$AA$3),FALSE)</f>
        <v>1.4839</v>
      </c>
      <c r="AG33" s="178">
        <v>9</v>
      </c>
      <c r="AH33" s="201">
        <f>AB33-AF33</f>
        <v>0.5161</v>
      </c>
      <c r="AI33" s="195">
        <f>IF(AG33&lt;=AH33,AG33,AH33)</f>
        <v>0.5161</v>
      </c>
      <c r="AJ33" s="195">
        <f>IF((AG33+AF33)&lt;=0,0,1)</f>
        <v>1</v>
      </c>
      <c r="AK33" s="204">
        <f>((('Rate Tables'!E9*$E33)*PersonCalcYr2!AI33)*$F33)*AJ33</f>
        <v>0</v>
      </c>
      <c r="AL33" s="197">
        <f>AB33-AF33-AI33</f>
        <v>0</v>
      </c>
      <c r="AM33" s="197">
        <f>IF(AL33&lt;0,AL33*0,1)*AL33</f>
        <v>0</v>
      </c>
      <c r="AN33" s="601">
        <f>AE33+(AI33*AJ33)+((AF33*AF37)*AJ33)</f>
        <v>3</v>
      </c>
      <c r="AO33" s="199" t="str">
        <f>VLOOKUP(AN33,'Lookup Tables'!$A$38:$B$151,2,FALSE)</f>
        <v>Sept</v>
      </c>
      <c r="AP33" s="191">
        <f>VLOOKUP(AO33,'Lookup Tables'!$A$22:$B$33,2,FALSE)</f>
        <v>3</v>
      </c>
      <c r="AQ33" s="200">
        <f>VLOOKUP(AP33,'Lookup Tables'!$A$3:$AA$16,MATCH(PersonCalcYr2!AM33,'Lookup Tables'!$A$3:$AA$3),FALSE)</f>
        <v>0</v>
      </c>
      <c r="AR33" s="178">
        <v>9</v>
      </c>
      <c r="AS33" s="201">
        <f>AM33-AQ33</f>
        <v>0</v>
      </c>
      <c r="AT33" s="195">
        <f>IF(AR33&lt;=AS33,AR33,AS33)</f>
        <v>0</v>
      </c>
      <c r="AU33" s="195">
        <f>IF((AR33+AQ33)&lt;=0,0,1)</f>
        <v>1</v>
      </c>
      <c r="AV33" s="204">
        <f>((('Rate Tables'!F9*$E33)*PersonCalcYr2!AT33)*$F33)*AU33</f>
        <v>0</v>
      </c>
      <c r="AW33" s="197">
        <f>AM33-AQ33-AT33</f>
        <v>0</v>
      </c>
      <c r="AX33" s="197"/>
      <c r="AY33" s="197"/>
      <c r="AZ33" s="178"/>
      <c r="BA33" s="227"/>
      <c r="BB33" s="349"/>
      <c r="BC33" s="227"/>
      <c r="BD33" s="275"/>
      <c r="BE33" s="12"/>
    </row>
    <row r="34" spans="1:57" ht="13.5" customHeight="1" x14ac:dyDescent="0.25">
      <c r="A34" s="296"/>
      <c r="B34" s="116"/>
      <c r="C34" s="117" t="s">
        <v>664</v>
      </c>
      <c r="D34" s="178"/>
      <c r="E34" s="153" t="s">
        <v>16</v>
      </c>
      <c r="F34" s="153" t="s">
        <v>42</v>
      </c>
      <c r="G34" s="153" t="s">
        <v>41</v>
      </c>
      <c r="H34" s="183" t="s">
        <v>77</v>
      </c>
      <c r="I34" s="184" t="s">
        <v>90</v>
      </c>
      <c r="J34" s="185" t="s">
        <v>70</v>
      </c>
      <c r="K34" s="186" t="s">
        <v>109</v>
      </c>
      <c r="L34" s="153" t="s">
        <v>53</v>
      </c>
      <c r="M34" s="153" t="s">
        <v>82</v>
      </c>
      <c r="N34" s="153" t="s">
        <v>32</v>
      </c>
      <c r="O34" s="153" t="s">
        <v>69</v>
      </c>
      <c r="P34" s="153" t="s">
        <v>72</v>
      </c>
      <c r="Q34" s="183" t="s">
        <v>80</v>
      </c>
      <c r="R34" s="187" t="s">
        <v>81</v>
      </c>
      <c r="S34" s="183" t="s">
        <v>77</v>
      </c>
      <c r="T34" s="598" t="s">
        <v>83</v>
      </c>
      <c r="U34" s="185" t="s">
        <v>70</v>
      </c>
      <c r="V34" s="153" t="s">
        <v>92</v>
      </c>
      <c r="W34" s="153" t="s">
        <v>44</v>
      </c>
      <c r="X34" s="153" t="s">
        <v>78</v>
      </c>
      <c r="Y34" s="153" t="s">
        <v>68</v>
      </c>
      <c r="Z34" s="153" t="s">
        <v>33</v>
      </c>
      <c r="AA34" s="153" t="s">
        <v>69</v>
      </c>
      <c r="AB34" s="153" t="s">
        <v>72</v>
      </c>
      <c r="AC34" s="153" t="s">
        <v>80</v>
      </c>
      <c r="AD34" s="187" t="s">
        <v>81</v>
      </c>
      <c r="AE34" s="183" t="s">
        <v>77</v>
      </c>
      <c r="AF34" s="185" t="s">
        <v>70</v>
      </c>
      <c r="AG34" s="153" t="s">
        <v>94</v>
      </c>
      <c r="AH34" s="153" t="s">
        <v>45</v>
      </c>
      <c r="AI34" s="153" t="s">
        <v>79</v>
      </c>
      <c r="AJ34" s="153" t="s">
        <v>68</v>
      </c>
      <c r="AK34" s="153" t="s">
        <v>34</v>
      </c>
      <c r="AL34" s="153" t="s">
        <v>69</v>
      </c>
      <c r="AM34" s="153" t="s">
        <v>72</v>
      </c>
      <c r="AN34" s="153" t="s">
        <v>80</v>
      </c>
      <c r="AO34" s="187" t="s">
        <v>81</v>
      </c>
      <c r="AP34" s="183" t="s">
        <v>77</v>
      </c>
      <c r="AQ34" s="185" t="s">
        <v>70</v>
      </c>
      <c r="AR34" s="153" t="s">
        <v>94</v>
      </c>
      <c r="AS34" s="153" t="s">
        <v>45</v>
      </c>
      <c r="AT34" s="153" t="s">
        <v>79</v>
      </c>
      <c r="AU34" s="153" t="s">
        <v>68</v>
      </c>
      <c r="AV34" s="153" t="s">
        <v>34</v>
      </c>
      <c r="AW34" s="153" t="s">
        <v>69</v>
      </c>
      <c r="AX34" s="197"/>
      <c r="AY34" s="197"/>
      <c r="AZ34" s="178"/>
      <c r="BA34" s="227"/>
      <c r="BB34" s="349"/>
      <c r="BC34" s="227"/>
      <c r="BD34" s="275"/>
      <c r="BE34" s="12"/>
    </row>
    <row r="35" spans="1:57" ht="13.5" customHeight="1" x14ac:dyDescent="0.25">
      <c r="A35" s="296"/>
      <c r="B35" s="116"/>
      <c r="C35" s="115"/>
      <c r="D35" s="178"/>
      <c r="E35" s="189">
        <f>BB29</f>
        <v>0</v>
      </c>
      <c r="F35" s="190">
        <f>IF($D$4=2024,1,0)</f>
        <v>0</v>
      </c>
      <c r="G35" s="178">
        <f>IF($B37="Yes",$C$5,$I37)</f>
        <v>12</v>
      </c>
      <c r="H35" s="191">
        <f>VLOOKUP(H36,'Lookup Tables'!$A$22:$B$33,2,FALSE)</f>
        <v>3</v>
      </c>
      <c r="I35" s="192">
        <f>VLOOKUP($E$4,'Lookup Tables'!$AB$46:$AN$58,MATCH($H35,'Lookup Tables'!$AB$46:$AN$46),FALSE)</f>
        <v>12</v>
      </c>
      <c r="J35" s="193">
        <f>VLOOKUP(H35,'Lookup Tables'!$A$3:$AA$16,MATCH(PersonCalcYr2!$G35,'Lookup Tables'!$A$3:$AA$3),FALSE)</f>
        <v>1.5161</v>
      </c>
      <c r="K35" s="194">
        <f>VLOOKUP(H36,'Lookup Tables'!$K$23:$L$34,2,FALSE)</f>
        <v>0</v>
      </c>
      <c r="L35" s="178">
        <f>IF(G35&lt;=K35,G35,K35)</f>
        <v>0</v>
      </c>
      <c r="M35" s="195">
        <f>IF(12-I35&gt;=1,1,0)</f>
        <v>0</v>
      </c>
      <c r="N35" s="196">
        <f>(('Rate Tables'!D9*PersonCalcYr2!E35)*PersonCalcYr2!L35)*PersonCalcYr2!F35*M35</f>
        <v>0</v>
      </c>
      <c r="O35" s="197">
        <f>G35-((J35+L35)*M35)</f>
        <v>12</v>
      </c>
      <c r="P35" s="197">
        <f>IF(O35&lt;0,O35*0,1)*O35</f>
        <v>12</v>
      </c>
      <c r="Q35" s="198">
        <f>H35+(L35*M35)+(J35*M35)</f>
        <v>3</v>
      </c>
      <c r="R35" s="199" t="str">
        <f>VLOOKUP(Q35,'Lookup Tables'!$A$38:$B$151,2,FALSE)</f>
        <v>Sept</v>
      </c>
      <c r="S35" s="191">
        <f>VLOOKUP(R35,'Lookup Tables'!$A$22:$B$33,2,FALSE)</f>
        <v>3</v>
      </c>
      <c r="T35" s="599">
        <f>VLOOKUP($E$4,'Lookup Tables'!$AB$63:$AN$75,MATCH(PersonCalcYr2!$S35,'Lookup Tables'!$AB$63:$AN$63),FALSE)</f>
        <v>0.5161</v>
      </c>
      <c r="U35" s="200">
        <f>VLOOKUP(S35,'Lookup Tables'!$A$3:$AA$16,MATCH(PersonCalcYr2!$P35,'Lookup Tables'!$A$3:$AA$3),FALSE)</f>
        <v>1.5161</v>
      </c>
      <c r="V35" s="496">
        <f>9-T35</f>
        <v>8.4839000000000002</v>
      </c>
      <c r="W35" s="201">
        <f>P35-U35</f>
        <v>10.4839</v>
      </c>
      <c r="X35" s="195">
        <f>IF(V35&lt;=W35,V35,W35)</f>
        <v>8.4839000000000002</v>
      </c>
      <c r="Y35" s="195">
        <f>IF(12-T35-U35-X35&gt;=0,1,0)</f>
        <v>1</v>
      </c>
      <c r="Z35" s="202">
        <f>((('Rate Tables'!E9*$E35)*PersonCalcYr2!$X35)*$F35)*Y35</f>
        <v>0</v>
      </c>
      <c r="AA35" s="197">
        <f>O35-(((U35*U37)+X35)*Y35)</f>
        <v>2</v>
      </c>
      <c r="AB35" s="197">
        <f>IF(AA35&lt;0,AA35*0,1)*AA35</f>
        <v>2</v>
      </c>
      <c r="AC35" s="601">
        <f>S35+(X35*Y35)+((U35*U37)*Y35)</f>
        <v>13</v>
      </c>
      <c r="AD35" s="199" t="str">
        <f>VLOOKUP(AC35,'Lookup Tables'!$A$38:$B$151,2,FALSE)</f>
        <v>July</v>
      </c>
      <c r="AE35" s="191">
        <f>VLOOKUP(AD35,'Lookup Tables'!$A$22:$B$33,2,FALSE)</f>
        <v>1</v>
      </c>
      <c r="AF35" s="200">
        <f>VLOOKUP(AE35,'Lookup Tables'!$A$3:$AA$16,MATCH(PersonCalcYr2!AB35,'Lookup Tables'!$A$3:$AA$3),FALSE)</f>
        <v>1.4839</v>
      </c>
      <c r="AG35" s="178">
        <v>9</v>
      </c>
      <c r="AH35" s="201">
        <f>AB35-AF35</f>
        <v>0.5161</v>
      </c>
      <c r="AI35" s="195">
        <f>IF(AG35&lt;=AH35,AG35,AH35)</f>
        <v>0.5161</v>
      </c>
      <c r="AJ35" s="195">
        <f>IF((AG35+AF35)&lt;=0,0,1)</f>
        <v>1</v>
      </c>
      <c r="AK35" s="204">
        <f>((('Rate Tables'!F9*$E35)*PersonCalcYr2!AI35)*$F35)*AJ35</f>
        <v>0</v>
      </c>
      <c r="AL35" s="197">
        <f>AB35-AF35-AI35</f>
        <v>0</v>
      </c>
      <c r="AM35" s="197">
        <f>IF(AL35&lt;0,AL35*0,1)*AL35</f>
        <v>0</v>
      </c>
      <c r="AN35" s="601">
        <f>AE35+(AI35*AJ35)+((AF35*AF37)*AJ35)</f>
        <v>3</v>
      </c>
      <c r="AO35" s="199" t="str">
        <f>VLOOKUP(AN35,'Lookup Tables'!$A$38:$B$151,2,FALSE)</f>
        <v>Sept</v>
      </c>
      <c r="AP35" s="191">
        <f>VLOOKUP(AO35,'Lookup Tables'!$A$22:$B$33,2,FALSE)</f>
        <v>3</v>
      </c>
      <c r="AQ35" s="200">
        <f>VLOOKUP(AP35,'Lookup Tables'!$A$3:$AA$16,MATCH(PersonCalcYr2!AM35,'Lookup Tables'!$A$3:$AA$3),FALSE)</f>
        <v>0</v>
      </c>
      <c r="AR35" s="178">
        <v>9</v>
      </c>
      <c r="AS35" s="201">
        <f>AM35-AQ35</f>
        <v>0</v>
      </c>
      <c r="AT35" s="195">
        <f>IF(AR35&lt;=AS35,AR35,AS35)</f>
        <v>0</v>
      </c>
      <c r="AU35" s="195">
        <f>IF((AR35+AQ35)&lt;=0,0,1)</f>
        <v>1</v>
      </c>
      <c r="AV35" s="204">
        <f>((('Rate Tables'!G9*$E35)*PersonCalcYr2!AT35)*$F35)*AU35</f>
        <v>0</v>
      </c>
      <c r="AW35" s="197">
        <f>AM35-AQ35-AT35</f>
        <v>0</v>
      </c>
      <c r="AX35" s="197"/>
      <c r="AY35" s="197"/>
      <c r="AZ35" s="178"/>
      <c r="BA35" s="227"/>
      <c r="BB35" s="349"/>
      <c r="BC35" s="227"/>
      <c r="BD35" s="275"/>
      <c r="BE35" s="12"/>
    </row>
    <row r="36" spans="1:57" ht="13.5" customHeight="1" x14ac:dyDescent="0.25">
      <c r="A36" s="296"/>
      <c r="B36" s="116"/>
      <c r="C36" s="115"/>
      <c r="D36" s="178"/>
      <c r="E36" s="205"/>
      <c r="F36" s="190"/>
      <c r="G36" s="178" t="s">
        <v>430</v>
      </c>
      <c r="H36" s="178" t="str">
        <f>IF(B37="yes",$C$4,A46)</f>
        <v>Sept</v>
      </c>
      <c r="I36" s="178"/>
      <c r="J36" s="178"/>
      <c r="K36" s="178"/>
      <c r="L36" s="178"/>
      <c r="M36" s="206"/>
      <c r="N36" s="207"/>
      <c r="O36" s="208"/>
      <c r="P36" s="190"/>
      <c r="Q36" s="190"/>
      <c r="R36" s="190"/>
      <c r="S36" s="190"/>
      <c r="T36" s="190"/>
      <c r="U36" s="178"/>
      <c r="V36" s="201"/>
      <c r="W36" s="201"/>
      <c r="X36" s="178"/>
      <c r="Y36" s="206"/>
      <c r="Z36" s="207"/>
      <c r="AA36" s="208"/>
      <c r="AB36" s="202"/>
      <c r="AC36" s="202"/>
      <c r="AD36" s="202"/>
      <c r="AE36" s="202"/>
      <c r="AF36" s="203"/>
      <c r="AG36" s="201"/>
      <c r="AH36" s="201"/>
      <c r="AI36" s="178"/>
      <c r="AJ36" s="206"/>
      <c r="AK36" s="207"/>
      <c r="AL36" s="208"/>
      <c r="AM36" s="202"/>
      <c r="AN36" s="202"/>
      <c r="AO36" s="202"/>
      <c r="AP36" s="202"/>
      <c r="AQ36" s="203"/>
      <c r="AR36" s="201"/>
      <c r="AS36" s="201"/>
      <c r="AT36" s="178"/>
      <c r="AU36" s="206"/>
      <c r="AV36" s="207"/>
      <c r="AW36" s="208"/>
      <c r="AX36" s="202"/>
      <c r="AY36" s="202"/>
      <c r="AZ36" s="178"/>
      <c r="BA36" s="307" t="s">
        <v>450</v>
      </c>
      <c r="BB36" s="349">
        <f>IF(B29=0,0,1)</f>
        <v>1</v>
      </c>
      <c r="BC36" s="227"/>
      <c r="BD36" s="275"/>
      <c r="BE36" s="12"/>
    </row>
    <row r="37" spans="1:57" ht="13.5" customHeight="1" x14ac:dyDescent="0.25">
      <c r="A37" s="37" t="s">
        <v>431</v>
      </c>
      <c r="B37" s="375" t="str">
        <f>Personnel!M15</f>
        <v>YES</v>
      </c>
      <c r="C37" s="115"/>
      <c r="D37" s="178"/>
      <c r="E37" s="205"/>
      <c r="F37" s="190"/>
      <c r="G37" s="491" t="s">
        <v>555</v>
      </c>
      <c r="H37" s="11">
        <f>IF(H38&lt;$C$5,H38,$C$5)</f>
        <v>12</v>
      </c>
      <c r="I37" s="178">
        <f>IF(B46&lt;=H38,B46,H38)</f>
        <v>0</v>
      </c>
      <c r="J37" s="178"/>
      <c r="K37" s="178"/>
      <c r="L37" s="178"/>
      <c r="M37" s="178"/>
      <c r="N37" s="178"/>
      <c r="O37" s="178"/>
      <c r="P37" s="190"/>
      <c r="Q37" s="190"/>
      <c r="R37" s="190"/>
      <c r="S37" s="190"/>
      <c r="T37" s="605" t="s">
        <v>573</v>
      </c>
      <c r="U37" s="606">
        <f>VLOOKUP($E$4,'Lookup Tables'!$L$79:$X$91,MATCH(PersonCalcYr2!$S31,'Lookup Tables'!$L$79:$X$79),FALSE)</f>
        <v>1</v>
      </c>
      <c r="V37" s="201"/>
      <c r="W37" s="201"/>
      <c r="X37" s="201"/>
      <c r="Y37" s="195"/>
      <c r="Z37" s="195"/>
      <c r="AA37" s="202"/>
      <c r="AB37" s="202"/>
      <c r="AC37" s="202"/>
      <c r="AD37" s="202"/>
      <c r="AE37" s="605" t="s">
        <v>573</v>
      </c>
      <c r="AF37" s="714">
        <v>1</v>
      </c>
      <c r="AG37" s="201"/>
      <c r="AH37" s="201"/>
      <c r="AI37" s="201"/>
      <c r="AJ37" s="201"/>
      <c r="AK37" s="202"/>
      <c r="AL37" s="202"/>
      <c r="AM37" s="202"/>
      <c r="AN37" s="202"/>
      <c r="AO37" s="202"/>
      <c r="AP37" s="202"/>
      <c r="AQ37" s="203"/>
      <c r="AR37" s="201"/>
      <c r="AS37" s="201"/>
      <c r="AT37" s="201"/>
      <c r="AU37" s="201"/>
      <c r="AV37" s="202"/>
      <c r="AW37" s="202"/>
      <c r="AX37" s="202"/>
      <c r="AY37" s="202"/>
      <c r="AZ37" s="178"/>
      <c r="BA37" s="370" t="s">
        <v>411</v>
      </c>
      <c r="BB37" s="460">
        <f>Personnel!O16</f>
        <v>10</v>
      </c>
      <c r="BC37" s="276" t="s">
        <v>117</v>
      </c>
      <c r="BD37" s="277">
        <f>(N40+W40+AJ40+AU40+N42+W42+AJ42+AU42+N44+W44+AJ44+AU44)*BB36</f>
        <v>0</v>
      </c>
      <c r="BE37" s="224"/>
    </row>
    <row r="38" spans="1:57" ht="13.5" customHeight="1" x14ac:dyDescent="0.25">
      <c r="A38" s="296" t="s">
        <v>439</v>
      </c>
      <c r="B38" s="114" t="s">
        <v>427</v>
      </c>
      <c r="C38" s="114"/>
      <c r="D38" s="178"/>
      <c r="E38" s="178"/>
      <c r="F38" s="178"/>
      <c r="G38" s="178"/>
      <c r="H38" s="175">
        <f>VLOOKUP($E$4,'Lookup Tables'!$L$46:$AA$58,MATCH($H$31,'Lookup Tables'!$L$46:$X$46),FALSE)</f>
        <v>12</v>
      </c>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227"/>
      <c r="BB38" s="12"/>
      <c r="BC38" s="278" t="s">
        <v>96</v>
      </c>
      <c r="BD38" s="279">
        <f>BD29+BD37</f>
        <v>0</v>
      </c>
      <c r="BE38" s="369"/>
    </row>
    <row r="39" spans="1:57" ht="13.5" customHeight="1" x14ac:dyDescent="0.25">
      <c r="A39" s="296"/>
      <c r="B39" s="116"/>
      <c r="C39" s="117" t="s">
        <v>30</v>
      </c>
      <c r="D39" s="178"/>
      <c r="E39" s="153" t="s">
        <v>84</v>
      </c>
      <c r="F39" s="153" t="s">
        <v>42</v>
      </c>
      <c r="G39" s="153" t="s">
        <v>41</v>
      </c>
      <c r="H39" s="183" t="s">
        <v>77</v>
      </c>
      <c r="I39" s="209" t="s">
        <v>101</v>
      </c>
      <c r="J39" s="210" t="s">
        <v>102</v>
      </c>
      <c r="K39" s="153" t="s">
        <v>98</v>
      </c>
      <c r="L39" s="153" t="s">
        <v>100</v>
      </c>
      <c r="M39" s="153" t="s">
        <v>82</v>
      </c>
      <c r="N39" s="153" t="s">
        <v>31</v>
      </c>
      <c r="O39" s="153" t="s">
        <v>69</v>
      </c>
      <c r="P39" s="153" t="s">
        <v>72</v>
      </c>
      <c r="Q39" s="153" t="s">
        <v>103</v>
      </c>
      <c r="R39" s="183" t="s">
        <v>77</v>
      </c>
      <c r="S39" s="209" t="s">
        <v>101</v>
      </c>
      <c r="T39" s="210" t="s">
        <v>102</v>
      </c>
      <c r="U39" s="178" t="s">
        <v>98</v>
      </c>
      <c r="V39" s="153" t="s">
        <v>100</v>
      </c>
      <c r="W39" s="153" t="s">
        <v>32</v>
      </c>
      <c r="X39" s="153" t="s">
        <v>69</v>
      </c>
      <c r="Y39" s="153"/>
      <c r="Z39" s="153"/>
      <c r="AA39" s="178"/>
      <c r="AB39" s="153" t="s">
        <v>72</v>
      </c>
      <c r="AC39" s="153" t="s">
        <v>103</v>
      </c>
      <c r="AD39" s="153"/>
      <c r="AE39" s="183" t="s">
        <v>77</v>
      </c>
      <c r="AF39" s="209" t="s">
        <v>101</v>
      </c>
      <c r="AG39" s="210" t="s">
        <v>102</v>
      </c>
      <c r="AH39" s="178" t="s">
        <v>98</v>
      </c>
      <c r="AI39" s="153" t="s">
        <v>100</v>
      </c>
      <c r="AJ39" s="153" t="s">
        <v>33</v>
      </c>
      <c r="AK39" s="153" t="s">
        <v>69</v>
      </c>
      <c r="AL39" s="178"/>
      <c r="AM39" s="153" t="s">
        <v>72</v>
      </c>
      <c r="AN39" s="153" t="s">
        <v>103</v>
      </c>
      <c r="AO39" s="153"/>
      <c r="AP39" s="183" t="s">
        <v>77</v>
      </c>
      <c r="AQ39" s="209" t="s">
        <v>101</v>
      </c>
      <c r="AR39" s="210" t="s">
        <v>102</v>
      </c>
      <c r="AS39" s="178" t="s">
        <v>98</v>
      </c>
      <c r="AT39" s="153" t="s">
        <v>100</v>
      </c>
      <c r="AU39" s="153" t="s">
        <v>33</v>
      </c>
      <c r="AV39" s="153" t="s">
        <v>69</v>
      </c>
      <c r="AW39" s="178"/>
      <c r="AX39" s="153"/>
      <c r="AY39" s="153"/>
      <c r="AZ39" s="178"/>
      <c r="BA39" s="276" t="s">
        <v>95</v>
      </c>
      <c r="BB39" s="12"/>
      <c r="BC39" s="227"/>
      <c r="BD39" s="275"/>
      <c r="BE39" s="12"/>
    </row>
    <row r="40" spans="1:57" ht="13.5" customHeight="1" x14ac:dyDescent="0.25">
      <c r="A40" s="296"/>
      <c r="B40" s="116"/>
      <c r="C40" s="115"/>
      <c r="D40" s="178"/>
      <c r="E40" s="211">
        <f>IF(H45&lt;=H46,H45,H46)</f>
        <v>10</v>
      </c>
      <c r="F40" s="190">
        <f>IF($D$4=2022,1,0)</f>
        <v>0</v>
      </c>
      <c r="G40" s="178">
        <f>IF($B37="Yes",$C$5,$I37)</f>
        <v>12</v>
      </c>
      <c r="H40" s="492">
        <f>H31</f>
        <v>3</v>
      </c>
      <c r="I40" s="212">
        <f>VLOOKUP(J31,'Lookup Tables'!$AB$22:$AC$31,2,FALSE)</f>
        <v>32</v>
      </c>
      <c r="J40" s="213">
        <f>VLOOKUP(U31,'Lookup Tables'!$AB$32:$AC$41,2,FALSE)</f>
        <v>33</v>
      </c>
      <c r="K40" s="203">
        <f>E40-J40</f>
        <v>-23</v>
      </c>
      <c r="L40" s="178">
        <f>IF(K40&gt;0,1,0)</f>
        <v>0</v>
      </c>
      <c r="M40" s="195">
        <f>M31</f>
        <v>0</v>
      </c>
      <c r="N40" s="196">
        <f>((((('Rate Tables'!B9*9)*0.02778)/5)*K40)*L40)*F40*M40</f>
        <v>0</v>
      </c>
      <c r="O40" s="197">
        <f>O31</f>
        <v>12</v>
      </c>
      <c r="P40" s="197">
        <f>IF(O40&lt;0,O40*0,1)*O40</f>
        <v>12</v>
      </c>
      <c r="Q40" s="203">
        <f>(E40-K40*F40*L40*M40)</f>
        <v>10</v>
      </c>
      <c r="R40" s="191">
        <f>S31</f>
        <v>3</v>
      </c>
      <c r="S40" s="212">
        <f>VLOOKUP(U31,'Lookup Tables'!$AB$22:$AC$31,2,FALSE)</f>
        <v>32</v>
      </c>
      <c r="T40" s="213">
        <f>VLOOKUP(AF31,'Lookup Tables'!$AB$32:$AC$41,2,FALSE)</f>
        <v>33</v>
      </c>
      <c r="U40" s="206">
        <f>Q40-T40</f>
        <v>-23</v>
      </c>
      <c r="V40" s="178">
        <f>IF(U40&gt;0,1,0)</f>
        <v>0</v>
      </c>
      <c r="W40" s="196">
        <f>((('Rate Tables'!C9*9)*0.02778)/5)*U40*F40*V40</f>
        <v>0</v>
      </c>
      <c r="X40" s="197">
        <f>AA31</f>
        <v>2</v>
      </c>
      <c r="Y40" s="178"/>
      <c r="Z40" s="195"/>
      <c r="AA40" s="178"/>
      <c r="AB40" s="197">
        <f>IF(X40&lt;0,X40*0,1)*X40</f>
        <v>2</v>
      </c>
      <c r="AC40" s="203">
        <f>Q40-(U40*V40)</f>
        <v>10</v>
      </c>
      <c r="AD40" s="178"/>
      <c r="AE40" s="191">
        <f>AE31</f>
        <v>1</v>
      </c>
      <c r="AF40" s="212">
        <f>VLOOKUP(AF31,'Lookup Tables'!$AB$22:$AC$31,2,FALSE)</f>
        <v>32</v>
      </c>
      <c r="AG40" s="213">
        <f>VLOOKUP(AQ31,'Lookup Tables'!$AB$32:$AC$41,2,FALSE)</f>
        <v>0</v>
      </c>
      <c r="AH40" s="208">
        <f>AC40-AG40</f>
        <v>10</v>
      </c>
      <c r="AI40" s="178">
        <f>IF(AH40&gt;0,1,0)</f>
        <v>1</v>
      </c>
      <c r="AJ40" s="196">
        <f>((('Rate Tables'!D9*9)*0.02778)/5)*AH40*AI40*F40</f>
        <v>0</v>
      </c>
      <c r="AK40" s="197">
        <f>AL31</f>
        <v>0</v>
      </c>
      <c r="AL40" s="178"/>
      <c r="AM40" s="197">
        <f>IF(AK40&lt;0,AK40*0,1)*AK40</f>
        <v>0</v>
      </c>
      <c r="AN40" s="203">
        <f>AC40-(AH40*AI40)</f>
        <v>0</v>
      </c>
      <c r="AO40" s="178"/>
      <c r="AP40" s="191">
        <f>AP31</f>
        <v>3</v>
      </c>
      <c r="AQ40" s="212">
        <f>VLOOKUP(AQ31,'Lookup Tables'!$AB$22:$AC$31,2,FALSE)</f>
        <v>0</v>
      </c>
      <c r="AR40" s="213">
        <v>0</v>
      </c>
      <c r="AS40" s="208">
        <f>AN40-AR40</f>
        <v>0</v>
      </c>
      <c r="AT40" s="178">
        <f>IF(AS40&gt;0,1,0)</f>
        <v>0</v>
      </c>
      <c r="AU40" s="196">
        <f>((('Rate Tables'!E9*9)*0.02778)/5)*AS40*AT40*F40</f>
        <v>0</v>
      </c>
      <c r="AV40" s="197">
        <f>AW31</f>
        <v>0</v>
      </c>
      <c r="AW40" s="178"/>
      <c r="AX40" s="197"/>
      <c r="AY40" s="197"/>
      <c r="AZ40" s="178"/>
      <c r="BA40" s="716">
        <f>BB37</f>
        <v>10</v>
      </c>
      <c r="BB40" s="225"/>
      <c r="BC40" s="227"/>
      <c r="BD40" s="275"/>
      <c r="BE40" s="12" t="s">
        <v>418</v>
      </c>
    </row>
    <row r="41" spans="1:57" ht="13.5" customHeight="1" x14ac:dyDescent="0.25">
      <c r="A41" s="296"/>
      <c r="B41" s="116"/>
      <c r="C41" s="117" t="s">
        <v>597</v>
      </c>
      <c r="D41" s="178"/>
      <c r="E41" s="153" t="s">
        <v>84</v>
      </c>
      <c r="F41" s="153" t="s">
        <v>42</v>
      </c>
      <c r="G41" s="153" t="s">
        <v>41</v>
      </c>
      <c r="H41" s="183" t="s">
        <v>77</v>
      </c>
      <c r="I41" s="209" t="s">
        <v>105</v>
      </c>
      <c r="J41" s="210" t="s">
        <v>106</v>
      </c>
      <c r="K41" s="153" t="s">
        <v>99</v>
      </c>
      <c r="L41" s="153" t="s">
        <v>100</v>
      </c>
      <c r="M41" s="153" t="s">
        <v>82</v>
      </c>
      <c r="N41" s="153" t="s">
        <v>32</v>
      </c>
      <c r="O41" s="153" t="s">
        <v>69</v>
      </c>
      <c r="P41" s="153" t="s">
        <v>72</v>
      </c>
      <c r="Q41" s="153" t="s">
        <v>103</v>
      </c>
      <c r="R41" s="183" t="s">
        <v>77</v>
      </c>
      <c r="S41" s="209" t="s">
        <v>105</v>
      </c>
      <c r="T41" s="210" t="s">
        <v>106</v>
      </c>
      <c r="U41" s="178" t="s">
        <v>98</v>
      </c>
      <c r="V41" s="153" t="s">
        <v>100</v>
      </c>
      <c r="W41" s="153" t="s">
        <v>33</v>
      </c>
      <c r="X41" s="153" t="s">
        <v>69</v>
      </c>
      <c r="Y41" s="153"/>
      <c r="Z41" s="153"/>
      <c r="AA41" s="178"/>
      <c r="AB41" s="153" t="s">
        <v>72</v>
      </c>
      <c r="AC41" s="153" t="s">
        <v>104</v>
      </c>
      <c r="AD41" s="153"/>
      <c r="AE41" s="183" t="s">
        <v>77</v>
      </c>
      <c r="AF41" s="209" t="s">
        <v>105</v>
      </c>
      <c r="AG41" s="210" t="s">
        <v>106</v>
      </c>
      <c r="AH41" s="178" t="s">
        <v>98</v>
      </c>
      <c r="AI41" s="153" t="s">
        <v>100</v>
      </c>
      <c r="AJ41" s="153" t="s">
        <v>34</v>
      </c>
      <c r="AK41" s="153" t="s">
        <v>69</v>
      </c>
      <c r="AL41" s="178"/>
      <c r="AM41" s="153" t="s">
        <v>72</v>
      </c>
      <c r="AN41" s="153" t="s">
        <v>104</v>
      </c>
      <c r="AO41" s="153"/>
      <c r="AP41" s="183" t="s">
        <v>77</v>
      </c>
      <c r="AQ41" s="209" t="s">
        <v>105</v>
      </c>
      <c r="AR41" s="210" t="s">
        <v>106</v>
      </c>
      <c r="AS41" s="178" t="s">
        <v>98</v>
      </c>
      <c r="AT41" s="153" t="s">
        <v>100</v>
      </c>
      <c r="AU41" s="153" t="s">
        <v>34</v>
      </c>
      <c r="AV41" s="153" t="s">
        <v>69</v>
      </c>
      <c r="AW41" s="178"/>
      <c r="AX41" s="178"/>
      <c r="AY41" s="178"/>
      <c r="AZ41" s="178"/>
      <c r="BA41" s="227"/>
      <c r="BB41" s="224"/>
      <c r="BC41" s="227" t="s">
        <v>451</v>
      </c>
      <c r="BD41" s="275">
        <f>(VLOOKUP($B29,'Rate Tables'!$O$2:$P$8,2,FALSE))</f>
        <v>0.2697</v>
      </c>
      <c r="BE41" s="372">
        <f>VLOOKUP('F&amp;ARatesCalc'!$B$1,'F&amp;ARatesCalc'!$A$3:$B$5,2,FALSE)</f>
        <v>0.56999999999999995</v>
      </c>
    </row>
    <row r="42" spans="1:57" ht="13.5" customHeight="1" x14ac:dyDescent="0.25">
      <c r="A42" s="296"/>
      <c r="B42" s="116"/>
      <c r="C42" s="115"/>
      <c r="D42" s="178"/>
      <c r="E42" s="211">
        <f>E40</f>
        <v>10</v>
      </c>
      <c r="F42" s="190">
        <f>IF($D$4=2023,1,0)</f>
        <v>1</v>
      </c>
      <c r="G42" s="178">
        <f>IF($B37="Yes",$C$5,$I37)</f>
        <v>12</v>
      </c>
      <c r="H42" s="191">
        <f>H33</f>
        <v>3</v>
      </c>
      <c r="I42" s="212">
        <f>VLOOKUP(J33,'Lookup Tables'!$AB$22:$AC$31,2,FALSE)</f>
        <v>32</v>
      </c>
      <c r="J42" s="213">
        <f>VLOOKUP(U33,'Lookup Tables'!$AB$32:$AC$41,2,FALSE)</f>
        <v>33</v>
      </c>
      <c r="K42" s="203">
        <f>E42-J42</f>
        <v>-23</v>
      </c>
      <c r="L42" s="178">
        <f>IF(K42&gt;0,1,0)</f>
        <v>0</v>
      </c>
      <c r="M42" s="195">
        <f>M33</f>
        <v>0</v>
      </c>
      <c r="N42" s="196">
        <f>((((('Rate Tables'!C9*9)*0.02778)/5)*K42)*L42)*F42*M42</f>
        <v>0</v>
      </c>
      <c r="O42" s="197">
        <f>O33</f>
        <v>12</v>
      </c>
      <c r="P42" s="197">
        <f>IF(O42&lt;0,O42*0,1)*O42</f>
        <v>12</v>
      </c>
      <c r="Q42" s="203">
        <f>(E42-K42*F42*L42*M42)</f>
        <v>10</v>
      </c>
      <c r="R42" s="191">
        <f>S33</f>
        <v>3</v>
      </c>
      <c r="S42" s="212">
        <f>VLOOKUP(U33,'Lookup Tables'!$AB$22:$AC$31,2,FALSE)</f>
        <v>32</v>
      </c>
      <c r="T42" s="213">
        <f>VLOOKUP(AF33,'Lookup Tables'!$AB$32:$AC$41,2,FALSE)</f>
        <v>33</v>
      </c>
      <c r="U42" s="206">
        <f>Q42-T42</f>
        <v>-23</v>
      </c>
      <c r="V42" s="178">
        <f>IF(U42&gt;0,1,0)</f>
        <v>0</v>
      </c>
      <c r="W42" s="196">
        <f>((('Rate Tables'!D9*9)*0.02778)/5)*U42*F42*V42</f>
        <v>0</v>
      </c>
      <c r="X42" s="197">
        <f>AA33</f>
        <v>2</v>
      </c>
      <c r="Y42" s="178"/>
      <c r="Z42" s="195"/>
      <c r="AA42" s="178"/>
      <c r="AB42" s="197">
        <f>IF(X42&lt;0,X42*0,1)*X42</f>
        <v>2</v>
      </c>
      <c r="AC42" s="203">
        <f>Q42-(U42*V42)</f>
        <v>10</v>
      </c>
      <c r="AD42" s="178"/>
      <c r="AE42" s="191">
        <f>AE33</f>
        <v>1</v>
      </c>
      <c r="AF42" s="212">
        <f>VLOOKUP(AF33,'Lookup Tables'!$AB$22:$AC$31,2,FALSE)</f>
        <v>32</v>
      </c>
      <c r="AG42" s="213">
        <f>VLOOKUP(AQ33,'Lookup Tables'!$AB$32:$AC$41,2,FALSE)</f>
        <v>0</v>
      </c>
      <c r="AH42" s="208">
        <f>AC42-AG42</f>
        <v>10</v>
      </c>
      <c r="AI42" s="178">
        <f>IF(AH42&gt;0,1,0)</f>
        <v>1</v>
      </c>
      <c r="AJ42" s="196">
        <f>((('Rate Tables'!E9*9)*0.02778)/5)*AH42*AI42*F42</f>
        <v>0</v>
      </c>
      <c r="AK42" s="197">
        <f>AL33</f>
        <v>0</v>
      </c>
      <c r="AL42" s="178"/>
      <c r="AM42" s="197">
        <f>IF(AK42&lt;0,AK42*0,1)*AK42</f>
        <v>0</v>
      </c>
      <c r="AN42" s="203">
        <f>AC42-(AH42*AI42)</f>
        <v>0</v>
      </c>
      <c r="AO42" s="178"/>
      <c r="AP42" s="191">
        <f>AP33</f>
        <v>3</v>
      </c>
      <c r="AQ42" s="212">
        <f>VLOOKUP(AQ33,'Lookup Tables'!$AB$22:$AC$31,2,FALSE)</f>
        <v>0</v>
      </c>
      <c r="AR42" s="213">
        <v>0</v>
      </c>
      <c r="AS42" s="208">
        <f>AN42-AR42</f>
        <v>0</v>
      </c>
      <c r="AT42" s="178">
        <f>IF(AS42&gt;0,1,0)</f>
        <v>0</v>
      </c>
      <c r="AU42" s="196">
        <f>((('Rate Tables'!F9*9)*0.02778)/5)*AS42*AT42*F42</f>
        <v>0</v>
      </c>
      <c r="AV42" s="197">
        <f>AW33</f>
        <v>0</v>
      </c>
      <c r="AW42" s="178"/>
      <c r="AX42" s="178"/>
      <c r="AY42" s="178"/>
      <c r="AZ42" s="178"/>
      <c r="BA42" s="227"/>
      <c r="BB42" s="12"/>
      <c r="BC42" s="227" t="s">
        <v>452</v>
      </c>
      <c r="BD42" s="275">
        <f>_xlfn.IFNA(BD41,0)</f>
        <v>0.2697</v>
      </c>
      <c r="BE42" s="12" t="s">
        <v>417</v>
      </c>
    </row>
    <row r="43" spans="1:57" ht="13.5" customHeight="1" x14ac:dyDescent="0.25">
      <c r="A43" s="296"/>
      <c r="B43" s="116"/>
      <c r="C43" s="117" t="s">
        <v>664</v>
      </c>
      <c r="D43" s="178"/>
      <c r="E43" s="153" t="s">
        <v>84</v>
      </c>
      <c r="F43" s="153" t="s">
        <v>42</v>
      </c>
      <c r="G43" s="153" t="s">
        <v>41</v>
      </c>
      <c r="H43" s="183" t="s">
        <v>77</v>
      </c>
      <c r="I43" s="209" t="s">
        <v>105</v>
      </c>
      <c r="J43" s="210" t="s">
        <v>106</v>
      </c>
      <c r="K43" s="153" t="s">
        <v>99</v>
      </c>
      <c r="L43" s="153" t="s">
        <v>100</v>
      </c>
      <c r="M43" s="153" t="s">
        <v>82</v>
      </c>
      <c r="N43" s="153" t="s">
        <v>32</v>
      </c>
      <c r="O43" s="153" t="s">
        <v>69</v>
      </c>
      <c r="P43" s="153" t="s">
        <v>72</v>
      </c>
      <c r="Q43" s="153" t="s">
        <v>103</v>
      </c>
      <c r="R43" s="183" t="s">
        <v>77</v>
      </c>
      <c r="S43" s="209" t="s">
        <v>105</v>
      </c>
      <c r="T43" s="210" t="s">
        <v>106</v>
      </c>
      <c r="U43" s="178" t="s">
        <v>98</v>
      </c>
      <c r="V43" s="153" t="s">
        <v>100</v>
      </c>
      <c r="W43" s="153" t="s">
        <v>33</v>
      </c>
      <c r="X43" s="153" t="s">
        <v>69</v>
      </c>
      <c r="Y43" s="153"/>
      <c r="Z43" s="153"/>
      <c r="AA43" s="178"/>
      <c r="AB43" s="153" t="s">
        <v>72</v>
      </c>
      <c r="AC43" s="153" t="s">
        <v>104</v>
      </c>
      <c r="AD43" s="153"/>
      <c r="AE43" s="183" t="s">
        <v>77</v>
      </c>
      <c r="AF43" s="209" t="s">
        <v>105</v>
      </c>
      <c r="AG43" s="210" t="s">
        <v>106</v>
      </c>
      <c r="AH43" s="178" t="s">
        <v>98</v>
      </c>
      <c r="AI43" s="153" t="s">
        <v>100</v>
      </c>
      <c r="AJ43" s="153" t="s">
        <v>34</v>
      </c>
      <c r="AK43" s="153" t="s">
        <v>69</v>
      </c>
      <c r="AL43" s="178"/>
      <c r="AM43" s="153" t="s">
        <v>72</v>
      </c>
      <c r="AN43" s="153" t="s">
        <v>104</v>
      </c>
      <c r="AO43" s="153"/>
      <c r="AP43" s="183" t="s">
        <v>77</v>
      </c>
      <c r="AQ43" s="209" t="s">
        <v>105</v>
      </c>
      <c r="AR43" s="210" t="s">
        <v>106</v>
      </c>
      <c r="AS43" s="178" t="s">
        <v>98</v>
      </c>
      <c r="AT43" s="153" t="s">
        <v>100</v>
      </c>
      <c r="AU43" s="153" t="s">
        <v>34</v>
      </c>
      <c r="AV43" s="153" t="s">
        <v>69</v>
      </c>
      <c r="AW43" s="178"/>
      <c r="AX43" s="178"/>
      <c r="AY43" s="178"/>
      <c r="AZ43" s="178"/>
      <c r="BA43" s="227"/>
      <c r="BB43" s="12"/>
      <c r="BC43" s="227"/>
      <c r="BD43" s="275"/>
      <c r="BE43" s="12"/>
    </row>
    <row r="44" spans="1:57" ht="13.5" customHeight="1" x14ac:dyDescent="0.25">
      <c r="A44" s="296"/>
      <c r="B44" s="116"/>
      <c r="C44" s="115"/>
      <c r="D44" s="178"/>
      <c r="E44" s="211">
        <f>E42</f>
        <v>10</v>
      </c>
      <c r="F44" s="190">
        <f>IF($D$4=2024,1,0)</f>
        <v>0</v>
      </c>
      <c r="G44" s="178">
        <f>IF($B37="Yes",$C$5,$I37)</f>
        <v>12</v>
      </c>
      <c r="H44" s="191">
        <f>H35</f>
        <v>3</v>
      </c>
      <c r="I44" s="212">
        <f>VLOOKUP(J35,'Lookup Tables'!$AB$22:$AC$31,2,FALSE)</f>
        <v>32</v>
      </c>
      <c r="J44" s="213">
        <f>VLOOKUP(U35,'Lookup Tables'!$AB$32:$AC$41,2,FALSE)</f>
        <v>33</v>
      </c>
      <c r="K44" s="203">
        <f>E44-J44</f>
        <v>-23</v>
      </c>
      <c r="L44" s="178">
        <f>IF(K44&gt;0,1,0)</f>
        <v>0</v>
      </c>
      <c r="M44" s="195">
        <f>M35</f>
        <v>0</v>
      </c>
      <c r="N44" s="196">
        <f>((((('Rate Tables'!D9*9)*0.02778)/5)*K44)*L44)*F44*M44</f>
        <v>0</v>
      </c>
      <c r="O44" s="197">
        <f>O35</f>
        <v>12</v>
      </c>
      <c r="P44" s="197">
        <f>IF(O44&lt;0,O44*0,1)*O44</f>
        <v>12</v>
      </c>
      <c r="Q44" s="203">
        <f>(E44-K44*F44*L44*M44)</f>
        <v>10</v>
      </c>
      <c r="R44" s="191">
        <f>S35</f>
        <v>3</v>
      </c>
      <c r="S44" s="212">
        <f>VLOOKUP(U35,'Lookup Tables'!$AB$22:$AC$31,2,FALSE)</f>
        <v>32</v>
      </c>
      <c r="T44" s="213">
        <f>VLOOKUP(AF35,'Lookup Tables'!$AB$32:$AC$41,2,FALSE)</f>
        <v>33</v>
      </c>
      <c r="U44" s="206">
        <f>Q44-T44</f>
        <v>-23</v>
      </c>
      <c r="V44" s="178">
        <f>IF(U44&gt;0,1,0)</f>
        <v>0</v>
      </c>
      <c r="W44" s="196">
        <f>((('Rate Tables'!E9*9)*0.02778)/5)*U44*F44*V44</f>
        <v>0</v>
      </c>
      <c r="X44" s="197">
        <f>AA35</f>
        <v>2</v>
      </c>
      <c r="Y44" s="178"/>
      <c r="Z44" s="195"/>
      <c r="AA44" s="178"/>
      <c r="AB44" s="197">
        <f>IF(X44&lt;0,X44*0,1)*X44</f>
        <v>2</v>
      </c>
      <c r="AC44" s="203">
        <f>Q44-(U44*V44)</f>
        <v>10</v>
      </c>
      <c r="AD44" s="178"/>
      <c r="AE44" s="191">
        <f>AE35</f>
        <v>1</v>
      </c>
      <c r="AF44" s="212">
        <f>VLOOKUP(AF35,'Lookup Tables'!$AB$22:$AC$31,2,FALSE)</f>
        <v>32</v>
      </c>
      <c r="AG44" s="213">
        <f>VLOOKUP(AQ35,'Lookup Tables'!$AB$32:$AC$41,2,FALSE)</f>
        <v>0</v>
      </c>
      <c r="AH44" s="208">
        <f>AC44-AG44</f>
        <v>10</v>
      </c>
      <c r="AI44" s="178">
        <f>IF(AH44&gt;0,1,0)</f>
        <v>1</v>
      </c>
      <c r="AJ44" s="196">
        <f>((('Rate Tables'!F9*9)*0.02778)/5)*AH44*AI44*F44</f>
        <v>0</v>
      </c>
      <c r="AK44" s="197">
        <f>AL35</f>
        <v>0</v>
      </c>
      <c r="AL44" s="178"/>
      <c r="AM44" s="197">
        <f>IF(AK44&lt;0,AK44*0,1)*AK44</f>
        <v>0</v>
      </c>
      <c r="AN44" s="203">
        <f>AC44-(AH44*AI44)</f>
        <v>0</v>
      </c>
      <c r="AO44" s="178"/>
      <c r="AP44" s="191">
        <f>AP35</f>
        <v>3</v>
      </c>
      <c r="AQ44" s="212">
        <f>VLOOKUP(AQ35,'Lookup Tables'!$AB$22:$AC$31,2,FALSE)</f>
        <v>0</v>
      </c>
      <c r="AR44" s="213">
        <v>0</v>
      </c>
      <c r="AS44" s="208">
        <f>AN44-AR44</f>
        <v>0</v>
      </c>
      <c r="AT44" s="178">
        <f>IF(AS44&gt;0,1,0)</f>
        <v>0</v>
      </c>
      <c r="AU44" s="196">
        <f>((('Rate Tables'!G11*9)*0.02778)/5)*AS44*AT44*F44</f>
        <v>0</v>
      </c>
      <c r="AV44" s="197">
        <f>AW35</f>
        <v>0</v>
      </c>
      <c r="AW44" s="178"/>
      <c r="AX44" s="178"/>
      <c r="AY44" s="178"/>
      <c r="AZ44" s="178"/>
      <c r="BA44" s="227"/>
      <c r="BB44" s="12"/>
      <c r="BC44" s="227"/>
      <c r="BD44" s="275"/>
      <c r="BE44" s="12"/>
    </row>
    <row r="45" spans="1:57" ht="13.5" customHeight="1" thickBot="1" x14ac:dyDescent="0.3">
      <c r="A45" s="296"/>
      <c r="B45" s="116"/>
      <c r="C45" s="114"/>
      <c r="D45" s="178"/>
      <c r="E45" s="178"/>
      <c r="F45" s="178"/>
      <c r="G45" s="491" t="s">
        <v>559</v>
      </c>
      <c r="H45" s="178">
        <f>BA40</f>
        <v>10</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307"/>
      <c r="BB45" s="12"/>
      <c r="BC45" s="227" t="s">
        <v>453</v>
      </c>
      <c r="BD45" s="275">
        <f>IF(BD42=0,0,BD41)</f>
        <v>0.2697</v>
      </c>
      <c r="BE45" s="12">
        <f>(BD38+BD46)*BE41</f>
        <v>0</v>
      </c>
    </row>
    <row r="46" spans="1:57" ht="13.5" customHeight="1" thickBot="1" x14ac:dyDescent="0.3">
      <c r="A46" s="380">
        <f>Personnel!M16</f>
        <v>0</v>
      </c>
      <c r="B46" s="273">
        <f>Personnel!M17</f>
        <v>0</v>
      </c>
      <c r="C46" s="114"/>
      <c r="D46" s="178"/>
      <c r="E46" s="178"/>
      <c r="F46" s="178"/>
      <c r="G46" s="491" t="s">
        <v>560</v>
      </c>
      <c r="H46" s="178">
        <f>VLOOKUP(H40,'Lookup Tables'!$L$62:$Y$74,MATCH(G40,'Lookup Tables'!$L$62:$Y$62,FALSE))</f>
        <v>65</v>
      </c>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309"/>
      <c r="BB46" s="274"/>
      <c r="BC46" s="278" t="s">
        <v>415</v>
      </c>
      <c r="BD46" s="279">
        <f>BD38*BD45</f>
        <v>0</v>
      </c>
      <c r="BE46" s="373">
        <f>BD38+BD46+BE45</f>
        <v>0</v>
      </c>
    </row>
    <row r="47" spans="1:57" ht="6" customHeight="1" thickBot="1" x14ac:dyDescent="0.3">
      <c r="A47" s="297"/>
      <c r="B47" s="295"/>
      <c r="C47" s="291"/>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80"/>
      <c r="BB47" s="149"/>
      <c r="BC47" s="280"/>
      <c r="BD47" s="281"/>
      <c r="BE47" s="374"/>
    </row>
    <row r="48" spans="1:57" ht="13.5" customHeight="1" x14ac:dyDescent="0.25">
      <c r="A48" s="298" t="s">
        <v>174</v>
      </c>
      <c r="B48" s="294" t="s">
        <v>337</v>
      </c>
      <c r="C48" s="259" t="s">
        <v>605</v>
      </c>
      <c r="D48" s="181"/>
      <c r="E48" s="181"/>
      <c r="F48" s="181"/>
      <c r="G48" s="181"/>
      <c r="H48" s="181"/>
      <c r="I48" s="181"/>
      <c r="J48" s="181"/>
      <c r="K48" s="181"/>
      <c r="L48" s="181"/>
      <c r="M48" s="181"/>
      <c r="N48" s="181"/>
      <c r="O48" s="181">
        <v>21</v>
      </c>
      <c r="P48" s="181"/>
      <c r="Q48" s="181"/>
      <c r="R48" s="181"/>
      <c r="S48" s="181"/>
      <c r="T48" s="181"/>
      <c r="U48" s="181"/>
      <c r="V48" s="181"/>
      <c r="W48" s="181"/>
      <c r="X48" s="181"/>
      <c r="Y48" s="181"/>
      <c r="Z48" s="493">
        <v>44378</v>
      </c>
      <c r="AA48" s="493">
        <v>44742</v>
      </c>
      <c r="AB48" s="181"/>
      <c r="AC48" s="181"/>
      <c r="AD48" s="181"/>
      <c r="AE48" s="181"/>
      <c r="AF48" s="181"/>
      <c r="AG48" s="181"/>
      <c r="AH48" s="181"/>
      <c r="AI48" s="181"/>
      <c r="AJ48" s="181"/>
      <c r="AK48" s="181"/>
      <c r="AL48" s="181">
        <v>23</v>
      </c>
      <c r="AM48" s="181"/>
      <c r="AN48" s="181"/>
      <c r="AO48" s="181"/>
      <c r="AP48" s="181"/>
      <c r="AQ48" s="181"/>
      <c r="AR48" s="181"/>
      <c r="AS48" s="181"/>
      <c r="AT48" s="181"/>
      <c r="AU48" s="181"/>
      <c r="AV48" s="181"/>
      <c r="AW48" s="181">
        <v>23</v>
      </c>
      <c r="AX48" s="181"/>
      <c r="AY48" s="181"/>
      <c r="AZ48" s="181"/>
      <c r="BA48" s="282"/>
      <c r="BB48" s="144"/>
      <c r="BC48" s="282"/>
      <c r="BD48" s="283"/>
      <c r="BE48" s="12"/>
    </row>
    <row r="49" spans="1:57" ht="13.5" customHeight="1" x14ac:dyDescent="0.25">
      <c r="A49" s="354">
        <f>Personnel!C22</f>
        <v>0</v>
      </c>
      <c r="B49" s="346" t="str">
        <f>Personnel!C21</f>
        <v>Faculty</v>
      </c>
      <c r="C49" s="347">
        <f>Personnel!C23</f>
        <v>0</v>
      </c>
      <c r="D49" s="178"/>
      <c r="E49" s="178"/>
      <c r="F49" s="178"/>
      <c r="G49" s="178"/>
      <c r="H49" s="178"/>
      <c r="I49" s="178"/>
      <c r="J49" s="178"/>
      <c r="K49" s="178"/>
      <c r="L49" s="178"/>
      <c r="M49" s="178"/>
      <c r="N49" s="178"/>
      <c r="O49" s="178">
        <v>22</v>
      </c>
      <c r="P49" s="178"/>
      <c r="Q49" s="178"/>
      <c r="R49" s="178"/>
      <c r="S49" s="178"/>
      <c r="T49" s="178"/>
      <c r="U49" s="178"/>
      <c r="V49" s="178"/>
      <c r="W49" s="178"/>
      <c r="X49" s="178"/>
      <c r="Y49" s="178"/>
      <c r="Z49" s="178"/>
      <c r="AA49" s="178">
        <v>23</v>
      </c>
      <c r="AB49" s="178"/>
      <c r="AC49" s="178"/>
      <c r="AD49" s="178"/>
      <c r="AE49" s="178"/>
      <c r="AF49" s="178"/>
      <c r="AG49" s="178"/>
      <c r="AH49" s="178"/>
      <c r="AI49" s="178"/>
      <c r="AJ49" s="178"/>
      <c r="AK49" s="178"/>
      <c r="AL49" s="178">
        <v>24</v>
      </c>
      <c r="AM49" s="178"/>
      <c r="AN49" s="178"/>
      <c r="AO49" s="178"/>
      <c r="AP49" s="178"/>
      <c r="AQ49" s="178"/>
      <c r="AR49" s="178"/>
      <c r="AS49" s="178"/>
      <c r="AT49" s="178"/>
      <c r="AU49" s="178"/>
      <c r="AV49" s="178"/>
      <c r="AW49" s="178">
        <v>24</v>
      </c>
      <c r="AX49" s="178"/>
      <c r="AY49" s="178"/>
      <c r="AZ49" s="178"/>
      <c r="BA49" s="306" t="s">
        <v>412</v>
      </c>
      <c r="BB49" s="348">
        <f>Personnel!O21</f>
        <v>0</v>
      </c>
      <c r="BC49" s="276" t="s">
        <v>414</v>
      </c>
      <c r="BD49" s="277">
        <f>(N51+N53+N55+Z51+Z53+Z55+AK51+AK53+AK55+AV51+AV53+AV55)*BB56</f>
        <v>0</v>
      </c>
      <c r="BE49" s="224"/>
    </row>
    <row r="50" spans="1:57" ht="13.5" customHeight="1" x14ac:dyDescent="0.25">
      <c r="A50" s="296"/>
      <c r="B50" s="116"/>
      <c r="C50" s="117" t="s">
        <v>30</v>
      </c>
      <c r="D50" s="178"/>
      <c r="E50" s="153" t="s">
        <v>16</v>
      </c>
      <c r="F50" s="153" t="s">
        <v>42</v>
      </c>
      <c r="G50" s="153" t="s">
        <v>41</v>
      </c>
      <c r="H50" s="183" t="s">
        <v>77</v>
      </c>
      <c r="I50" s="184" t="s">
        <v>90</v>
      </c>
      <c r="J50" s="185" t="s">
        <v>70</v>
      </c>
      <c r="K50" s="186" t="s">
        <v>93</v>
      </c>
      <c r="L50" s="153" t="s">
        <v>35</v>
      </c>
      <c r="M50" s="153" t="s">
        <v>82</v>
      </c>
      <c r="N50" s="153" t="s">
        <v>31</v>
      </c>
      <c r="O50" s="153" t="s">
        <v>69</v>
      </c>
      <c r="P50" s="153" t="s">
        <v>72</v>
      </c>
      <c r="Q50" s="183" t="s">
        <v>80</v>
      </c>
      <c r="R50" s="187" t="s">
        <v>81</v>
      </c>
      <c r="S50" s="183" t="s">
        <v>77</v>
      </c>
      <c r="T50" s="598" t="s">
        <v>83</v>
      </c>
      <c r="U50" s="185" t="s">
        <v>70</v>
      </c>
      <c r="V50" s="153" t="s">
        <v>91</v>
      </c>
      <c r="W50" s="153" t="s">
        <v>43</v>
      </c>
      <c r="X50" s="153" t="s">
        <v>53</v>
      </c>
      <c r="Y50" s="153" t="s">
        <v>68</v>
      </c>
      <c r="Z50" s="153" t="s">
        <v>32</v>
      </c>
      <c r="AA50" s="153" t="s">
        <v>69</v>
      </c>
      <c r="AB50" s="153" t="s">
        <v>72</v>
      </c>
      <c r="AC50" s="153" t="s">
        <v>80</v>
      </c>
      <c r="AD50" s="187" t="s">
        <v>81</v>
      </c>
      <c r="AE50" s="183" t="s">
        <v>77</v>
      </c>
      <c r="AF50" s="185" t="s">
        <v>70</v>
      </c>
      <c r="AG50" s="153" t="s">
        <v>92</v>
      </c>
      <c r="AH50" s="153" t="s">
        <v>44</v>
      </c>
      <c r="AI50" s="153" t="s">
        <v>78</v>
      </c>
      <c r="AJ50" s="153" t="s">
        <v>68</v>
      </c>
      <c r="AK50" s="153" t="s">
        <v>33</v>
      </c>
      <c r="AL50" s="153" t="s">
        <v>69</v>
      </c>
      <c r="AM50" s="153" t="s">
        <v>72</v>
      </c>
      <c r="AN50" s="153" t="s">
        <v>80</v>
      </c>
      <c r="AO50" s="187" t="s">
        <v>81</v>
      </c>
      <c r="AP50" s="183" t="s">
        <v>77</v>
      </c>
      <c r="AQ50" s="185" t="s">
        <v>70</v>
      </c>
      <c r="AR50" s="153" t="s">
        <v>92</v>
      </c>
      <c r="AS50" s="153" t="s">
        <v>44</v>
      </c>
      <c r="AT50" s="153" t="s">
        <v>78</v>
      </c>
      <c r="AU50" s="153" t="s">
        <v>68</v>
      </c>
      <c r="AV50" s="153" t="s">
        <v>33</v>
      </c>
      <c r="AW50" s="153" t="s">
        <v>69</v>
      </c>
      <c r="AX50" s="153"/>
      <c r="AY50" s="153"/>
      <c r="AZ50" s="178"/>
      <c r="BA50" s="227"/>
      <c r="BB50" s="349"/>
      <c r="BC50" s="227"/>
      <c r="BD50" s="275"/>
      <c r="BE50" s="12"/>
    </row>
    <row r="51" spans="1:57" ht="13.5" customHeight="1" x14ac:dyDescent="0.25">
      <c r="A51" s="296"/>
      <c r="B51" s="116"/>
      <c r="C51" s="115"/>
      <c r="D51" s="178"/>
      <c r="E51" s="189">
        <f>BB49</f>
        <v>0</v>
      </c>
      <c r="F51" s="190">
        <f>IF($D$4=2022,1,0)</f>
        <v>0</v>
      </c>
      <c r="G51" s="178">
        <f>IF($B57="Yes",$C$5,$I57)</f>
        <v>12</v>
      </c>
      <c r="H51" s="492">
        <f>VLOOKUP(H56,'Lookup Tables'!$A$22:$B$33,2,FALSE)</f>
        <v>3</v>
      </c>
      <c r="I51" s="192">
        <f>VLOOKUP($E$4,'Lookup Tables'!$AB$46:$AN$58,MATCH($H51,'Lookup Tables'!$AB$46:$AN$46),FALSE)</f>
        <v>12</v>
      </c>
      <c r="J51" s="193">
        <f>VLOOKUP(H51,'Lookup Tables'!$A$3:$AA$16,MATCH(PersonCalcYr2!$G51,'Lookup Tables'!$A$3:$AA$3),FALSE)</f>
        <v>1.5161</v>
      </c>
      <c r="K51" s="194">
        <f>VLOOKUP(H56,'Lookup Tables'!$K$23:$L$34,2,FALSE)</f>
        <v>0</v>
      </c>
      <c r="L51" s="178">
        <f>IF(G51&lt;=K51,G51,K51)</f>
        <v>0</v>
      </c>
      <c r="M51" s="195">
        <f>IF(12-I51&gt;=1,1,0)</f>
        <v>0</v>
      </c>
      <c r="N51" s="196">
        <f>(('Rate Tables'!B14*PersonCalcYr2!E51)*PersonCalcYr2!L51)*PersonCalcYr2!F51*M51</f>
        <v>0</v>
      </c>
      <c r="O51" s="197">
        <f>G51-((J51+L51)*M51)</f>
        <v>12</v>
      </c>
      <c r="P51" s="197">
        <f>IF(O51&lt;0,O51*0,1)*O51</f>
        <v>12</v>
      </c>
      <c r="Q51" s="198">
        <f>H51+(L51*M51)+(J51*M51)</f>
        <v>3</v>
      </c>
      <c r="R51" s="199" t="str">
        <f>VLOOKUP(Q51,'Lookup Tables'!$A$38:$B$151,2,FALSE)</f>
        <v>Sept</v>
      </c>
      <c r="S51" s="191">
        <f>VLOOKUP(R51,'Lookup Tables'!$A$22:$B$33,2,FALSE)</f>
        <v>3</v>
      </c>
      <c r="T51" s="599">
        <f>VLOOKUP($E$4,'Lookup Tables'!$AB$63:$AN$75,MATCH(PersonCalcYr2!$S51,'Lookup Tables'!$AB$63:$AN$63),FALSE)</f>
        <v>0.5161</v>
      </c>
      <c r="U51" s="200">
        <f>VLOOKUP(S51,'Lookup Tables'!$A$3:$AA$16,MATCH(PersonCalcYr2!$P51,'Lookup Tables'!$A$3:$AA$3),FALSE)</f>
        <v>1.5161</v>
      </c>
      <c r="V51" s="496">
        <f>9-T51</f>
        <v>8.4839000000000002</v>
      </c>
      <c r="W51" s="201">
        <f>P51-U51</f>
        <v>10.4839</v>
      </c>
      <c r="X51" s="195">
        <f>IF(V51&lt;=W51,V51,W51)</f>
        <v>8.4839000000000002</v>
      </c>
      <c r="Y51" s="195">
        <f>IF(12-T51-U51-X51&gt;=0,1,0)</f>
        <v>1</v>
      </c>
      <c r="Z51" s="202">
        <f>((('Rate Tables'!C14*$E51)*PersonCalcYr2!$X51)*$F51)*Y51</f>
        <v>0</v>
      </c>
      <c r="AA51" s="197">
        <f>O51-(((U51*U57)+X51)*Y51)</f>
        <v>2</v>
      </c>
      <c r="AB51" s="197">
        <f>IF(AA51&lt;0,AA51*0,1)*AA51</f>
        <v>2</v>
      </c>
      <c r="AC51" s="601">
        <f>S51+(X51*Y51)+((U51*U57)*Y51)</f>
        <v>13</v>
      </c>
      <c r="AD51" s="199" t="str">
        <f>VLOOKUP(AC51,'Lookup Tables'!$A$38:$B$151,2,FALSE)</f>
        <v>July</v>
      </c>
      <c r="AE51" s="191">
        <f>VLOOKUP(AD51,'Lookup Tables'!$A$22:$B$33,2,FALSE)</f>
        <v>1</v>
      </c>
      <c r="AF51" s="200">
        <f>VLOOKUP(AE51,'Lookup Tables'!$A$3:$AA$16,MATCH(PersonCalcYr2!AB51,'Lookup Tables'!$A$3:$AA$3),FALSE)</f>
        <v>1.4839</v>
      </c>
      <c r="AG51" s="178">
        <v>9</v>
      </c>
      <c r="AH51" s="201">
        <f>AB51-AF51</f>
        <v>0.5161</v>
      </c>
      <c r="AI51" s="195">
        <f>IF(AG51&lt;=AH51,AG51,AH51)</f>
        <v>0.5161</v>
      </c>
      <c r="AJ51" s="195">
        <f>IF((AG51+AF51)&lt;=0,0,1)</f>
        <v>1</v>
      </c>
      <c r="AK51" s="204">
        <f>((('Rate Tables'!D14*$E51)*PersonCalcYr2!AI51)*$F51)*AJ51</f>
        <v>0</v>
      </c>
      <c r="AL51" s="197">
        <f>AB51-AF51-AI51</f>
        <v>0</v>
      </c>
      <c r="AM51" s="197">
        <f>IF(AL51&lt;0,AL51*0,1)*AL51</f>
        <v>0</v>
      </c>
      <c r="AN51" s="203">
        <f>AE51+(AI51*AJ51)+((AF51*AF57)*AJ51)</f>
        <v>3</v>
      </c>
      <c r="AO51" s="199" t="str">
        <f>VLOOKUP(AN51,'Lookup Tables'!$A$38:$B$151,2,FALSE)</f>
        <v>Sept</v>
      </c>
      <c r="AP51" s="191">
        <f>VLOOKUP(AO51,'Lookup Tables'!$A$22:$B$33,2,FALSE)</f>
        <v>3</v>
      </c>
      <c r="AQ51" s="200">
        <f>VLOOKUP(AP51,'Lookup Tables'!$A$3:$AA$16,MATCH(PersonCalcYr2!AM51,'Lookup Tables'!$A$3:$AA$3),FALSE)</f>
        <v>0</v>
      </c>
      <c r="AR51" s="178">
        <v>9</v>
      </c>
      <c r="AS51" s="201">
        <f>AM51-AQ51</f>
        <v>0</v>
      </c>
      <c r="AT51" s="195">
        <f>IF(AR51&lt;=AS51,AR51,AS51)</f>
        <v>0</v>
      </c>
      <c r="AU51" s="195">
        <f>IF((AR51+AQ51)&lt;=0,0,1)</f>
        <v>1</v>
      </c>
      <c r="AV51" s="204">
        <f>((('Rate Tables'!E14*$E51)*PersonCalcYr2!AT51)*$F51)*AU51</f>
        <v>0</v>
      </c>
      <c r="AW51" s="197">
        <f>AM51-AQ51-AT51</f>
        <v>0</v>
      </c>
      <c r="AX51" s="197"/>
      <c r="AY51" s="197"/>
      <c r="AZ51" s="178"/>
      <c r="BA51" s="227"/>
      <c r="BB51" s="350"/>
      <c r="BC51" s="227"/>
      <c r="BD51" s="275"/>
      <c r="BE51" s="12"/>
    </row>
    <row r="52" spans="1:57" ht="13.5" customHeight="1" x14ac:dyDescent="0.25">
      <c r="A52" s="296"/>
      <c r="B52" s="116"/>
      <c r="C52" s="117" t="s">
        <v>597</v>
      </c>
      <c r="D52" s="178"/>
      <c r="E52" s="153" t="s">
        <v>16</v>
      </c>
      <c r="F52" s="153" t="s">
        <v>42</v>
      </c>
      <c r="G52" s="153" t="s">
        <v>41</v>
      </c>
      <c r="H52" s="183" t="s">
        <v>77</v>
      </c>
      <c r="I52" s="184" t="s">
        <v>90</v>
      </c>
      <c r="J52" s="185" t="s">
        <v>70</v>
      </c>
      <c r="K52" s="186" t="s">
        <v>109</v>
      </c>
      <c r="L52" s="153" t="s">
        <v>53</v>
      </c>
      <c r="M52" s="153" t="s">
        <v>82</v>
      </c>
      <c r="N52" s="153" t="s">
        <v>32</v>
      </c>
      <c r="O52" s="153" t="s">
        <v>69</v>
      </c>
      <c r="P52" s="153" t="s">
        <v>72</v>
      </c>
      <c r="Q52" s="183" t="s">
        <v>80</v>
      </c>
      <c r="R52" s="187" t="s">
        <v>81</v>
      </c>
      <c r="S52" s="183" t="s">
        <v>77</v>
      </c>
      <c r="T52" s="598" t="s">
        <v>83</v>
      </c>
      <c r="U52" s="185" t="s">
        <v>70</v>
      </c>
      <c r="V52" s="153" t="s">
        <v>92</v>
      </c>
      <c r="W52" s="153" t="s">
        <v>44</v>
      </c>
      <c r="X52" s="153" t="s">
        <v>78</v>
      </c>
      <c r="Y52" s="153" t="s">
        <v>68</v>
      </c>
      <c r="Z52" s="153" t="s">
        <v>33</v>
      </c>
      <c r="AA52" s="153" t="s">
        <v>69</v>
      </c>
      <c r="AB52" s="153" t="s">
        <v>72</v>
      </c>
      <c r="AC52" s="153" t="s">
        <v>80</v>
      </c>
      <c r="AD52" s="187" t="s">
        <v>81</v>
      </c>
      <c r="AE52" s="183" t="s">
        <v>77</v>
      </c>
      <c r="AF52" s="185" t="s">
        <v>70</v>
      </c>
      <c r="AG52" s="153" t="s">
        <v>94</v>
      </c>
      <c r="AH52" s="153" t="s">
        <v>45</v>
      </c>
      <c r="AI52" s="153" t="s">
        <v>79</v>
      </c>
      <c r="AJ52" s="153" t="s">
        <v>68</v>
      </c>
      <c r="AK52" s="153" t="s">
        <v>34</v>
      </c>
      <c r="AL52" s="153" t="s">
        <v>69</v>
      </c>
      <c r="AM52" s="153" t="s">
        <v>72</v>
      </c>
      <c r="AN52" s="153" t="s">
        <v>80</v>
      </c>
      <c r="AO52" s="187" t="s">
        <v>81</v>
      </c>
      <c r="AP52" s="183" t="s">
        <v>77</v>
      </c>
      <c r="AQ52" s="185" t="s">
        <v>70</v>
      </c>
      <c r="AR52" s="153" t="s">
        <v>94</v>
      </c>
      <c r="AS52" s="153" t="s">
        <v>45</v>
      </c>
      <c r="AT52" s="153" t="s">
        <v>79</v>
      </c>
      <c r="AU52" s="153" t="s">
        <v>68</v>
      </c>
      <c r="AV52" s="153" t="s">
        <v>34</v>
      </c>
      <c r="AW52" s="153" t="s">
        <v>69</v>
      </c>
      <c r="AX52" s="153"/>
      <c r="AY52" s="153"/>
      <c r="AZ52" s="178"/>
      <c r="BA52" s="227"/>
      <c r="BB52" s="351"/>
      <c r="BC52" s="227"/>
      <c r="BD52" s="275"/>
      <c r="BE52" s="12"/>
    </row>
    <row r="53" spans="1:57" ht="13.5" customHeight="1" x14ac:dyDescent="0.25">
      <c r="A53" s="296"/>
      <c r="B53" s="116"/>
      <c r="C53" s="115"/>
      <c r="D53" s="178"/>
      <c r="E53" s="189">
        <f>BB49</f>
        <v>0</v>
      </c>
      <c r="F53" s="190">
        <f>IF($D$4=2023,1,0)</f>
        <v>1</v>
      </c>
      <c r="G53" s="178">
        <f>IF($B57="Yes",$C$5,$I57)</f>
        <v>12</v>
      </c>
      <c r="H53" s="191">
        <f>VLOOKUP(H56,'Lookup Tables'!$A$22:$B$33,2,FALSE)</f>
        <v>3</v>
      </c>
      <c r="I53" s="192">
        <f>VLOOKUP($E$4,'Lookup Tables'!$AB$46:$AN$58,MATCH($H53,'Lookup Tables'!$AB$46:$AN$46),FALSE)</f>
        <v>12</v>
      </c>
      <c r="J53" s="193">
        <f>VLOOKUP(H53,'Lookup Tables'!$A$3:$AA$16,MATCH(PersonCalcYr2!$G53,'Lookup Tables'!$A$3:$AA$3),FALSE)</f>
        <v>1.5161</v>
      </c>
      <c r="K53" s="194">
        <f>VLOOKUP($H56,'Lookup Tables'!$K$23:$L$34,2,FALSE)</f>
        <v>0</v>
      </c>
      <c r="L53" s="178">
        <f>IF(G53&lt;=K53,G53,K53)</f>
        <v>0</v>
      </c>
      <c r="M53" s="195">
        <f>IF(12-I53&gt;=1,1,0)</f>
        <v>0</v>
      </c>
      <c r="N53" s="196">
        <f>(('Rate Tables'!C14*PersonCalcYr2!E53)*PersonCalcYr2!L53)*PersonCalcYr2!F53*M53</f>
        <v>0</v>
      </c>
      <c r="O53" s="197">
        <f>G53-((J53+L53)*M53)</f>
        <v>12</v>
      </c>
      <c r="P53" s="197">
        <f>IF(O53&lt;0,O53*0,1)*O53</f>
        <v>12</v>
      </c>
      <c r="Q53" s="198">
        <f>H53+(L53*M53)+(J53*M53)</f>
        <v>3</v>
      </c>
      <c r="R53" s="199" t="str">
        <f>VLOOKUP(Q53,'Lookup Tables'!$A$38:$B$151,2,FALSE)</f>
        <v>Sept</v>
      </c>
      <c r="S53" s="191">
        <f>VLOOKUP(R53,'Lookup Tables'!$A$22:$B$33,2,FALSE)</f>
        <v>3</v>
      </c>
      <c r="T53" s="599">
        <f>VLOOKUP($E$4,'Lookup Tables'!$AB$63:$AN$75,MATCH(PersonCalcYr2!$S53,'Lookup Tables'!$AB$63:$AN$63),FALSE)</f>
        <v>0.5161</v>
      </c>
      <c r="U53" s="200">
        <f>VLOOKUP(S53,'Lookup Tables'!$A$3:$AA$16,MATCH(PersonCalcYr2!$P53,'Lookup Tables'!$A$3:$AA$3),FALSE)</f>
        <v>1.5161</v>
      </c>
      <c r="V53" s="496">
        <f>9-T53</f>
        <v>8.4839000000000002</v>
      </c>
      <c r="W53" s="201">
        <f>P53-U53</f>
        <v>10.4839</v>
      </c>
      <c r="X53" s="195">
        <f>IF(V53&lt;=W53,V53,W53)</f>
        <v>8.4839000000000002</v>
      </c>
      <c r="Y53" s="195">
        <f>IF(12-T53-U53-X53&gt;=0,1,0)</f>
        <v>1</v>
      </c>
      <c r="Z53" s="202">
        <f>((('Rate Tables'!D14*$E53)*PersonCalcYr2!$X53)*$F53)*Y53</f>
        <v>0</v>
      </c>
      <c r="AA53" s="197">
        <f>O53-(((U53*U57)+X53)*Y53)</f>
        <v>2</v>
      </c>
      <c r="AB53" s="197">
        <f>IF(AA53&lt;0,AA53*0,1)*AA53</f>
        <v>2</v>
      </c>
      <c r="AC53" s="601">
        <f>S53+(X53*Y53)+((U53*U57)*Y53)</f>
        <v>13</v>
      </c>
      <c r="AD53" s="199" t="str">
        <f>VLOOKUP(AC53,'Lookup Tables'!$A$38:$B$151,2,FALSE)</f>
        <v>July</v>
      </c>
      <c r="AE53" s="191">
        <f>VLOOKUP(AD53,'Lookup Tables'!$A$22:$B$33,2,FALSE)</f>
        <v>1</v>
      </c>
      <c r="AF53" s="200">
        <f>VLOOKUP(AE53,'Lookup Tables'!$A$3:$AA$16,MATCH(PersonCalcYr2!AB53,'Lookup Tables'!$A$3:$AA$3),FALSE)</f>
        <v>1.4839</v>
      </c>
      <c r="AG53" s="178">
        <v>9</v>
      </c>
      <c r="AH53" s="201">
        <f>AB53-AF53</f>
        <v>0.5161</v>
      </c>
      <c r="AI53" s="195">
        <f>IF(AG53&lt;=AH53,AG53,AH53)</f>
        <v>0.5161</v>
      </c>
      <c r="AJ53" s="195">
        <f>IF((AG53+AF53)&lt;=0,0,1)</f>
        <v>1</v>
      </c>
      <c r="AK53" s="204">
        <f>((('Rate Tables'!E14*$E53)*PersonCalcYr2!AI53)*$F53)*AJ53</f>
        <v>0</v>
      </c>
      <c r="AL53" s="197">
        <f>AB53-AF53-AI53</f>
        <v>0</v>
      </c>
      <c r="AM53" s="197">
        <f>IF(AL53&lt;0,AL53*0,1)*AL53</f>
        <v>0</v>
      </c>
      <c r="AN53" s="203">
        <f>AE53+(AI53*AJ53)+((AF53*AF57)*AJ53)</f>
        <v>3</v>
      </c>
      <c r="AO53" s="199" t="str">
        <f>VLOOKUP(AN53,'Lookup Tables'!$A$38:$B$151,2,FALSE)</f>
        <v>Sept</v>
      </c>
      <c r="AP53" s="191">
        <f>VLOOKUP(AO53,'Lookup Tables'!$A$22:$B$33,2,FALSE)</f>
        <v>3</v>
      </c>
      <c r="AQ53" s="200">
        <f>VLOOKUP(AP53,'Lookup Tables'!$A$3:$AA$16,MATCH(PersonCalcYr2!AM53,'Lookup Tables'!$A$3:$AA$3),FALSE)</f>
        <v>0</v>
      </c>
      <c r="AR53" s="178">
        <v>9</v>
      </c>
      <c r="AS53" s="201">
        <f>AM53-AQ53</f>
        <v>0</v>
      </c>
      <c r="AT53" s="195">
        <f>IF(AR53&lt;=AS53,AR53,AS53)</f>
        <v>0</v>
      </c>
      <c r="AU53" s="195">
        <f>IF((AR53+AQ53)&lt;=0,0,1)</f>
        <v>1</v>
      </c>
      <c r="AV53" s="204">
        <f>((('Rate Tables'!F14*$E53)*PersonCalcYr2!AT53)*$F53)*AU53</f>
        <v>0</v>
      </c>
      <c r="AW53" s="197">
        <f>AM53-AQ53-AT53</f>
        <v>0</v>
      </c>
      <c r="AX53" s="197"/>
      <c r="AY53" s="197"/>
      <c r="AZ53" s="178"/>
      <c r="BA53" s="227"/>
      <c r="BB53" s="349"/>
      <c r="BC53" s="227"/>
      <c r="BD53" s="275"/>
      <c r="BE53" s="12"/>
    </row>
    <row r="54" spans="1:57" ht="13.5" customHeight="1" x14ac:dyDescent="0.25">
      <c r="A54" s="296"/>
      <c r="B54" s="116"/>
      <c r="C54" s="117" t="s">
        <v>664</v>
      </c>
      <c r="D54" s="178"/>
      <c r="E54" s="153" t="s">
        <v>16</v>
      </c>
      <c r="F54" s="153" t="s">
        <v>42</v>
      </c>
      <c r="G54" s="153" t="s">
        <v>41</v>
      </c>
      <c r="H54" s="183" t="s">
        <v>77</v>
      </c>
      <c r="I54" s="184" t="s">
        <v>90</v>
      </c>
      <c r="J54" s="185" t="s">
        <v>70</v>
      </c>
      <c r="K54" s="186" t="s">
        <v>109</v>
      </c>
      <c r="L54" s="153" t="s">
        <v>53</v>
      </c>
      <c r="M54" s="153" t="s">
        <v>82</v>
      </c>
      <c r="N54" s="153" t="s">
        <v>32</v>
      </c>
      <c r="O54" s="153" t="s">
        <v>69</v>
      </c>
      <c r="P54" s="153" t="s">
        <v>72</v>
      </c>
      <c r="Q54" s="183" t="s">
        <v>80</v>
      </c>
      <c r="R54" s="187" t="s">
        <v>81</v>
      </c>
      <c r="S54" s="183" t="s">
        <v>77</v>
      </c>
      <c r="T54" s="598" t="s">
        <v>83</v>
      </c>
      <c r="U54" s="185" t="s">
        <v>70</v>
      </c>
      <c r="V54" s="153" t="s">
        <v>92</v>
      </c>
      <c r="W54" s="153" t="s">
        <v>44</v>
      </c>
      <c r="X54" s="153" t="s">
        <v>78</v>
      </c>
      <c r="Y54" s="153" t="s">
        <v>68</v>
      </c>
      <c r="Z54" s="153" t="s">
        <v>33</v>
      </c>
      <c r="AA54" s="153" t="s">
        <v>69</v>
      </c>
      <c r="AB54" s="153" t="s">
        <v>72</v>
      </c>
      <c r="AC54" s="153" t="s">
        <v>80</v>
      </c>
      <c r="AD54" s="187" t="s">
        <v>81</v>
      </c>
      <c r="AE54" s="183" t="s">
        <v>77</v>
      </c>
      <c r="AF54" s="185" t="s">
        <v>70</v>
      </c>
      <c r="AG54" s="153" t="s">
        <v>94</v>
      </c>
      <c r="AH54" s="153" t="s">
        <v>45</v>
      </c>
      <c r="AI54" s="153" t="s">
        <v>79</v>
      </c>
      <c r="AJ54" s="153" t="s">
        <v>68</v>
      </c>
      <c r="AK54" s="153" t="s">
        <v>34</v>
      </c>
      <c r="AL54" s="153" t="s">
        <v>69</v>
      </c>
      <c r="AM54" s="153" t="s">
        <v>72</v>
      </c>
      <c r="AN54" s="153" t="s">
        <v>80</v>
      </c>
      <c r="AO54" s="187" t="s">
        <v>81</v>
      </c>
      <c r="AP54" s="183" t="s">
        <v>77</v>
      </c>
      <c r="AQ54" s="185" t="s">
        <v>70</v>
      </c>
      <c r="AR54" s="153" t="s">
        <v>94</v>
      </c>
      <c r="AS54" s="153" t="s">
        <v>45</v>
      </c>
      <c r="AT54" s="153" t="s">
        <v>79</v>
      </c>
      <c r="AU54" s="153" t="s">
        <v>68</v>
      </c>
      <c r="AV54" s="153" t="s">
        <v>34</v>
      </c>
      <c r="AW54" s="153" t="s">
        <v>69</v>
      </c>
      <c r="AX54" s="197"/>
      <c r="AY54" s="197"/>
      <c r="AZ54" s="178"/>
      <c r="BA54" s="227"/>
      <c r="BB54" s="349"/>
      <c r="BC54" s="227"/>
      <c r="BD54" s="275"/>
      <c r="BE54" s="12"/>
    </row>
    <row r="55" spans="1:57" ht="13.5" customHeight="1" x14ac:dyDescent="0.25">
      <c r="A55" s="296"/>
      <c r="B55" s="116"/>
      <c r="C55" s="115"/>
      <c r="D55" s="178"/>
      <c r="E55" s="189">
        <f>BB49</f>
        <v>0</v>
      </c>
      <c r="F55" s="190">
        <f>IF($D$4=2024,1,0)</f>
        <v>0</v>
      </c>
      <c r="G55" s="178">
        <f>IF($B57="Yes",$C$5,$I57)</f>
        <v>12</v>
      </c>
      <c r="H55" s="191">
        <f>VLOOKUP(H56,'Lookup Tables'!$A$22:$B$33,2,FALSE)</f>
        <v>3</v>
      </c>
      <c r="I55" s="192">
        <f>VLOOKUP($E$4,'Lookup Tables'!$AB$46:$AN$58,MATCH($H55,'Lookup Tables'!$AB$46:$AN$46),FALSE)</f>
        <v>12</v>
      </c>
      <c r="J55" s="193">
        <f>VLOOKUP(H55,'Lookup Tables'!$A$3:$AA$16,MATCH(PersonCalcYr2!$G55,'Lookup Tables'!$A$3:$AA$3),FALSE)</f>
        <v>1.5161</v>
      </c>
      <c r="K55" s="194">
        <f>VLOOKUP($H56,'Lookup Tables'!$K$23:$L$34,2,FALSE)</f>
        <v>0</v>
      </c>
      <c r="L55" s="178">
        <f>IF(G55&lt;=K55,G55,K55)</f>
        <v>0</v>
      </c>
      <c r="M55" s="195">
        <f>IF(12-I55&gt;=1,1,0)</f>
        <v>0</v>
      </c>
      <c r="N55" s="196">
        <f>(('Rate Tables'!D14*PersonCalcYr2!E55)*PersonCalcYr2!L55)*PersonCalcYr2!F55*M55</f>
        <v>0</v>
      </c>
      <c r="O55" s="197">
        <f>G55-((J55+L55)*M55)</f>
        <v>12</v>
      </c>
      <c r="P55" s="197">
        <f>IF(O55&lt;0,O55*0,1)*O55</f>
        <v>12</v>
      </c>
      <c r="Q55" s="198">
        <f>H55+(L55*M55)+(J55*M55)</f>
        <v>3</v>
      </c>
      <c r="R55" s="199" t="str">
        <f>VLOOKUP(Q55,'Lookup Tables'!$A$38:$B$151,2,FALSE)</f>
        <v>Sept</v>
      </c>
      <c r="S55" s="191">
        <f>VLOOKUP(R55,'Lookup Tables'!$A$22:$B$33,2,FALSE)</f>
        <v>3</v>
      </c>
      <c r="T55" s="599">
        <f>VLOOKUP($E$4,'Lookup Tables'!$AB$63:$AN$75,MATCH(PersonCalcYr2!$S55,'Lookup Tables'!$AB$63:$AN$63),FALSE)</f>
        <v>0.5161</v>
      </c>
      <c r="U55" s="200">
        <f>VLOOKUP(S55,'Lookup Tables'!$A$3:$AA$16,MATCH(PersonCalcYr2!$P55,'Lookup Tables'!$A$3:$AA$3),FALSE)</f>
        <v>1.5161</v>
      </c>
      <c r="V55" s="496">
        <f>9-T55</f>
        <v>8.4839000000000002</v>
      </c>
      <c r="W55" s="201">
        <f>P55-U55</f>
        <v>10.4839</v>
      </c>
      <c r="X55" s="195">
        <f>IF(V55&lt;=W55,V55,W55)</f>
        <v>8.4839000000000002</v>
      </c>
      <c r="Y55" s="195">
        <f>IF(12-T55-U55-X55&gt;=0,1,0)</f>
        <v>1</v>
      </c>
      <c r="Z55" s="202">
        <f>((('Rate Tables'!E14*$E55)*PersonCalcYr2!$X55)*$F55)*Y55</f>
        <v>0</v>
      </c>
      <c r="AA55" s="197">
        <f>O55-(((U55*U57)+X55)*Y55)</f>
        <v>2</v>
      </c>
      <c r="AB55" s="197">
        <f>IF(AA55&lt;0,AA55*0,1)*AA55</f>
        <v>2</v>
      </c>
      <c r="AC55" s="601">
        <f>S55+(X55*Y55)+((U55*U57)*Y55)</f>
        <v>13</v>
      </c>
      <c r="AD55" s="199" t="str">
        <f>VLOOKUP(AC55,'Lookup Tables'!$A$38:$B$151,2,FALSE)</f>
        <v>July</v>
      </c>
      <c r="AE55" s="191">
        <f>VLOOKUP(AD55,'Lookup Tables'!$A$22:$B$33,2,FALSE)</f>
        <v>1</v>
      </c>
      <c r="AF55" s="200">
        <f>VLOOKUP(AE55,'Lookup Tables'!$A$3:$AA$16,MATCH(PersonCalcYr2!AB55,'Lookup Tables'!$A$3:$AA$3),FALSE)</f>
        <v>1.4839</v>
      </c>
      <c r="AG55" s="178">
        <v>9</v>
      </c>
      <c r="AH55" s="201">
        <f>AB55-AF55</f>
        <v>0.5161</v>
      </c>
      <c r="AI55" s="195">
        <f>IF(AG55&lt;=AH55,AG55,AH55)</f>
        <v>0.5161</v>
      </c>
      <c r="AJ55" s="195">
        <f>IF((AG55+AF55)&lt;=0,0,1)</f>
        <v>1</v>
      </c>
      <c r="AK55" s="204">
        <f>((('Rate Tables'!F14*$E55)*PersonCalcYr2!AI55)*$F55)*AJ55</f>
        <v>0</v>
      </c>
      <c r="AL55" s="197">
        <f>AB55-AF55-AI55</f>
        <v>0</v>
      </c>
      <c r="AM55" s="197">
        <f>IF(AL55&lt;0,AL55*0,1)*AL55</f>
        <v>0</v>
      </c>
      <c r="AN55" s="203">
        <f>AE55+(AI55*AJ55)+((AF55*AF57)*AJ55)</f>
        <v>3</v>
      </c>
      <c r="AO55" s="199" t="str">
        <f>VLOOKUP(AN55,'Lookup Tables'!$A$38:$B$151,2,FALSE)</f>
        <v>Sept</v>
      </c>
      <c r="AP55" s="191">
        <f>VLOOKUP(AO55,'Lookup Tables'!$A$22:$B$33,2,FALSE)</f>
        <v>3</v>
      </c>
      <c r="AQ55" s="200">
        <f>VLOOKUP(AP55,'Lookup Tables'!$A$3:$AA$16,MATCH(PersonCalcYr2!AM55,'Lookup Tables'!$A$3:$AA$3),FALSE)</f>
        <v>0</v>
      </c>
      <c r="AR55" s="178">
        <v>9</v>
      </c>
      <c r="AS55" s="201">
        <f>AM55-AQ55</f>
        <v>0</v>
      </c>
      <c r="AT55" s="195">
        <f>IF(AR55&lt;=AS55,AR55,AS55)</f>
        <v>0</v>
      </c>
      <c r="AU55" s="195">
        <f>IF((AR55+AQ55)&lt;=0,0,1)</f>
        <v>1</v>
      </c>
      <c r="AV55" s="204">
        <f>((('Rate Tables'!G14*$E55)*PersonCalcYr2!AT55)*$F55)*AU55</f>
        <v>0</v>
      </c>
      <c r="AW55" s="197">
        <f>AM55-AQ55-AT55</f>
        <v>0</v>
      </c>
      <c r="AX55" s="197"/>
      <c r="AY55" s="197"/>
      <c r="AZ55" s="178"/>
      <c r="BA55" s="227"/>
      <c r="BB55" s="349"/>
      <c r="BC55" s="227"/>
      <c r="BD55" s="275"/>
      <c r="BE55" s="12"/>
    </row>
    <row r="56" spans="1:57" ht="13.5" customHeight="1" x14ac:dyDescent="0.25">
      <c r="A56" s="296"/>
      <c r="B56" s="116"/>
      <c r="C56" s="115"/>
      <c r="D56" s="178"/>
      <c r="E56" s="205"/>
      <c r="F56" s="190"/>
      <c r="G56" s="178" t="s">
        <v>430</v>
      </c>
      <c r="H56" s="178" t="str">
        <f>IF(B57="yes",$C$4,A66)</f>
        <v>Sept</v>
      </c>
      <c r="I56" s="178"/>
      <c r="J56" s="178"/>
      <c r="K56" s="178"/>
      <c r="L56" s="178"/>
      <c r="M56" s="206"/>
      <c r="N56" s="207"/>
      <c r="O56" s="208"/>
      <c r="P56" s="190"/>
      <c r="Q56" s="190"/>
      <c r="R56" s="190"/>
      <c r="S56" s="190"/>
      <c r="T56" s="190"/>
      <c r="U56" s="178"/>
      <c r="V56" s="201"/>
      <c r="W56" s="201"/>
      <c r="X56" s="178"/>
      <c r="Y56" s="206"/>
      <c r="Z56" s="207"/>
      <c r="AA56" s="208"/>
      <c r="AB56" s="202"/>
      <c r="AC56" s="202"/>
      <c r="AD56" s="202"/>
      <c r="AE56" s="202"/>
      <c r="AF56" s="203"/>
      <c r="AG56" s="201"/>
      <c r="AH56" s="201"/>
      <c r="AI56" s="178"/>
      <c r="AJ56" s="206"/>
      <c r="AK56" s="207"/>
      <c r="AL56" s="208"/>
      <c r="AM56" s="202"/>
      <c r="AN56" s="202"/>
      <c r="AO56" s="202"/>
      <c r="AP56" s="202"/>
      <c r="AQ56" s="203"/>
      <c r="AR56" s="201"/>
      <c r="AS56" s="201"/>
      <c r="AT56" s="178"/>
      <c r="AU56" s="206"/>
      <c r="AV56" s="207"/>
      <c r="AW56" s="208"/>
      <c r="AX56" s="202"/>
      <c r="AY56" s="202"/>
      <c r="AZ56" s="178"/>
      <c r="BA56" s="307" t="s">
        <v>450</v>
      </c>
      <c r="BB56" s="349">
        <f>IF(B49=0,0,1)</f>
        <v>1</v>
      </c>
      <c r="BC56" s="227"/>
      <c r="BD56" s="275"/>
      <c r="BE56" s="12"/>
    </row>
    <row r="57" spans="1:57" ht="13.5" customHeight="1" x14ac:dyDescent="0.25">
      <c r="A57" s="37" t="s">
        <v>431</v>
      </c>
      <c r="B57" s="375" t="str">
        <f>Personnel!M21</f>
        <v>YES</v>
      </c>
      <c r="C57" s="115"/>
      <c r="D57" s="178"/>
      <c r="E57" s="205"/>
      <c r="F57" s="190"/>
      <c r="G57" s="491" t="s">
        <v>555</v>
      </c>
      <c r="H57" s="11">
        <f>IF(H58&lt;$C$5,H58,$C$5)</f>
        <v>12</v>
      </c>
      <c r="I57" s="178">
        <f>IF(B66&lt;=H58,B66,H58)</f>
        <v>0</v>
      </c>
      <c r="J57" s="178"/>
      <c r="K57" s="178"/>
      <c r="L57" s="178"/>
      <c r="M57" s="178"/>
      <c r="N57" s="178"/>
      <c r="O57" s="178"/>
      <c r="P57" s="190"/>
      <c r="Q57" s="190"/>
      <c r="R57" s="190"/>
      <c r="S57" s="190"/>
      <c r="T57" s="605" t="s">
        <v>573</v>
      </c>
      <c r="U57" s="606">
        <f>VLOOKUP($E$4,'Lookup Tables'!$L$79:$X$91,MATCH(PersonCalcYr2!$S51,'Lookup Tables'!$L$79:$X$79),FALSE)</f>
        <v>1</v>
      </c>
      <c r="V57" s="201"/>
      <c r="W57" s="201"/>
      <c r="X57" s="201"/>
      <c r="Y57" s="195"/>
      <c r="Z57" s="195"/>
      <c r="AA57" s="202"/>
      <c r="AB57" s="202"/>
      <c r="AC57" s="202"/>
      <c r="AD57" s="202"/>
      <c r="AE57" s="605" t="s">
        <v>573</v>
      </c>
      <c r="AF57" s="714">
        <v>1</v>
      </c>
      <c r="AG57" s="201"/>
      <c r="AH57" s="201"/>
      <c r="AI57" s="201"/>
      <c r="AJ57" s="201"/>
      <c r="AK57" s="202"/>
      <c r="AL57" s="202"/>
      <c r="AM57" s="202"/>
      <c r="AN57" s="202"/>
      <c r="AO57" s="202"/>
      <c r="AP57" s="202"/>
      <c r="AQ57" s="203"/>
      <c r="AR57" s="201"/>
      <c r="AS57" s="201"/>
      <c r="AT57" s="201"/>
      <c r="AU57" s="201"/>
      <c r="AV57" s="202"/>
      <c r="AW57" s="202"/>
      <c r="AX57" s="202"/>
      <c r="AY57" s="202"/>
      <c r="AZ57" s="178"/>
      <c r="BA57" s="370" t="s">
        <v>411</v>
      </c>
      <c r="BB57" s="460">
        <f>Personnel!O22</f>
        <v>10</v>
      </c>
      <c r="BC57" s="276" t="s">
        <v>117</v>
      </c>
      <c r="BD57" s="277">
        <f>(N60+W60+AJ60++AU60+N62+W62+AJ62+AU62+N64+W64+AJ64+AU64)*BB56</f>
        <v>0</v>
      </c>
      <c r="BE57" s="224"/>
    </row>
    <row r="58" spans="1:57" ht="13.5" customHeight="1" x14ac:dyDescent="0.25">
      <c r="A58" s="296" t="s">
        <v>439</v>
      </c>
      <c r="B58" s="114" t="s">
        <v>427</v>
      </c>
      <c r="C58" s="114"/>
      <c r="D58" s="178"/>
      <c r="E58" s="178"/>
      <c r="F58" s="178"/>
      <c r="G58" s="178"/>
      <c r="H58" s="175">
        <f>VLOOKUP($E$4,'Lookup Tables'!$L$46:$AA$58,MATCH($H$51,'Lookup Tables'!$L$46:$X$46),FALSE)</f>
        <v>12</v>
      </c>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227"/>
      <c r="BB58" s="12"/>
      <c r="BC58" s="278" t="s">
        <v>96</v>
      </c>
      <c r="BD58" s="279">
        <f>BD49+BD57</f>
        <v>0</v>
      </c>
      <c r="BE58" s="369"/>
    </row>
    <row r="59" spans="1:57" ht="13.5" customHeight="1" x14ac:dyDescent="0.25">
      <c r="A59" s="296"/>
      <c r="B59" s="116"/>
      <c r="C59" s="117" t="s">
        <v>30</v>
      </c>
      <c r="D59" s="178"/>
      <c r="E59" s="153" t="s">
        <v>84</v>
      </c>
      <c r="F59" s="153" t="s">
        <v>42</v>
      </c>
      <c r="G59" s="153" t="s">
        <v>41</v>
      </c>
      <c r="H59" s="183" t="s">
        <v>77</v>
      </c>
      <c r="I59" s="209" t="s">
        <v>101</v>
      </c>
      <c r="J59" s="210" t="s">
        <v>102</v>
      </c>
      <c r="K59" s="153" t="s">
        <v>98</v>
      </c>
      <c r="L59" s="153" t="s">
        <v>100</v>
      </c>
      <c r="M59" s="153" t="s">
        <v>82</v>
      </c>
      <c r="N59" s="153" t="s">
        <v>31</v>
      </c>
      <c r="O59" s="153" t="s">
        <v>69</v>
      </c>
      <c r="P59" s="153" t="s">
        <v>72</v>
      </c>
      <c r="Q59" s="153" t="s">
        <v>103</v>
      </c>
      <c r="R59" s="183" t="s">
        <v>77</v>
      </c>
      <c r="S59" s="209" t="s">
        <v>101</v>
      </c>
      <c r="T59" s="210" t="s">
        <v>102</v>
      </c>
      <c r="U59" s="178" t="s">
        <v>98</v>
      </c>
      <c r="V59" s="153" t="s">
        <v>100</v>
      </c>
      <c r="W59" s="153" t="s">
        <v>32</v>
      </c>
      <c r="X59" s="153" t="s">
        <v>69</v>
      </c>
      <c r="Y59" s="153"/>
      <c r="Z59" s="153"/>
      <c r="AA59" s="178"/>
      <c r="AB59" s="153" t="s">
        <v>72</v>
      </c>
      <c r="AC59" s="153" t="s">
        <v>103</v>
      </c>
      <c r="AD59" s="153"/>
      <c r="AE59" s="183" t="s">
        <v>77</v>
      </c>
      <c r="AF59" s="209" t="s">
        <v>101</v>
      </c>
      <c r="AG59" s="210" t="s">
        <v>102</v>
      </c>
      <c r="AH59" s="178" t="s">
        <v>98</v>
      </c>
      <c r="AI59" s="153" t="s">
        <v>100</v>
      </c>
      <c r="AJ59" s="153" t="s">
        <v>33</v>
      </c>
      <c r="AK59" s="153" t="s">
        <v>69</v>
      </c>
      <c r="AL59" s="178"/>
      <c r="AM59" s="153" t="s">
        <v>72</v>
      </c>
      <c r="AN59" s="153" t="s">
        <v>103</v>
      </c>
      <c r="AO59" s="153"/>
      <c r="AP59" s="183" t="s">
        <v>77</v>
      </c>
      <c r="AQ59" s="209" t="s">
        <v>101</v>
      </c>
      <c r="AR59" s="210" t="s">
        <v>102</v>
      </c>
      <c r="AS59" s="178" t="s">
        <v>98</v>
      </c>
      <c r="AT59" s="153" t="s">
        <v>100</v>
      </c>
      <c r="AU59" s="153" t="s">
        <v>33</v>
      </c>
      <c r="AV59" s="153" t="s">
        <v>69</v>
      </c>
      <c r="AW59" s="178"/>
      <c r="AX59" s="153"/>
      <c r="AY59" s="153"/>
      <c r="AZ59" s="178"/>
      <c r="BA59" s="276" t="s">
        <v>95</v>
      </c>
      <c r="BB59" s="12"/>
      <c r="BC59" s="227"/>
      <c r="BD59" s="275"/>
      <c r="BE59" s="12"/>
    </row>
    <row r="60" spans="1:57" ht="13.5" customHeight="1" x14ac:dyDescent="0.25">
      <c r="A60" s="296"/>
      <c r="B60" s="116"/>
      <c r="C60" s="115"/>
      <c r="D60" s="178"/>
      <c r="E60" s="211">
        <f>IF(H65&lt;=H66,H65,H66)</f>
        <v>10</v>
      </c>
      <c r="F60" s="190">
        <f>IF($D$4=2022,1,0)</f>
        <v>0</v>
      </c>
      <c r="G60" s="178">
        <f>IF($B57="Yes",$C$5,$I57)</f>
        <v>12</v>
      </c>
      <c r="H60" s="492">
        <f>H51</f>
        <v>3</v>
      </c>
      <c r="I60" s="212">
        <f>VLOOKUP(J51,'Lookup Tables'!$AB$22:$AC$31,2,FALSE)</f>
        <v>32</v>
      </c>
      <c r="J60" s="213">
        <f>VLOOKUP(U51,'Lookup Tables'!$AB$32:$AC$41,2,FALSE)</f>
        <v>33</v>
      </c>
      <c r="K60" s="203">
        <f>E60-J60</f>
        <v>-23</v>
      </c>
      <c r="L60" s="178">
        <f>IF(K60&gt;0,1,0)</f>
        <v>0</v>
      </c>
      <c r="M60" s="195">
        <f>M51</f>
        <v>0</v>
      </c>
      <c r="N60" s="196">
        <f>((((('Rate Tables'!B14*9)*0.02778)/5)*K60)*L60)*F60*M60</f>
        <v>0</v>
      </c>
      <c r="O60" s="197">
        <f>O51</f>
        <v>12</v>
      </c>
      <c r="P60" s="197">
        <f>IF(O60&lt;0,O60*0,1)*O60</f>
        <v>12</v>
      </c>
      <c r="Q60" s="203">
        <f>(E60-K60*F60*L60*M60)</f>
        <v>10</v>
      </c>
      <c r="R60" s="191">
        <f>S51</f>
        <v>3</v>
      </c>
      <c r="S60" s="212">
        <f>VLOOKUP(U51,'Lookup Tables'!$AB$22:$AC$31,2,FALSE)</f>
        <v>32</v>
      </c>
      <c r="T60" s="213">
        <f>VLOOKUP(AF51,'Lookup Tables'!$AB$32:$AC$41,2,FALSE)</f>
        <v>33</v>
      </c>
      <c r="U60" s="206">
        <f>Q60-T60</f>
        <v>-23</v>
      </c>
      <c r="V60" s="178">
        <f>IF(U60&gt;0,1,0)</f>
        <v>0</v>
      </c>
      <c r="W60" s="196">
        <f>((('Rate Tables'!C14*9)*0.02778)/5)*U60*F60*V60</f>
        <v>0</v>
      </c>
      <c r="X60" s="197">
        <f>AA51</f>
        <v>2</v>
      </c>
      <c r="Y60" s="178"/>
      <c r="Z60" s="195"/>
      <c r="AA60" s="178"/>
      <c r="AB60" s="197">
        <f>IF(X60&lt;0,X60*0,1)*X60</f>
        <v>2</v>
      </c>
      <c r="AC60" s="203">
        <f>Q60-(U60*V60)</f>
        <v>10</v>
      </c>
      <c r="AD60" s="178"/>
      <c r="AE60" s="191">
        <f>AE51</f>
        <v>1</v>
      </c>
      <c r="AF60" s="212">
        <f>VLOOKUP(AF51,'Lookup Tables'!$AB$22:$AC$31,2,FALSE)</f>
        <v>32</v>
      </c>
      <c r="AG60" s="213">
        <f>VLOOKUP(AQ51,'Lookup Tables'!$AB$32:$AC$41,2,FALSE)</f>
        <v>0</v>
      </c>
      <c r="AH60" s="208">
        <f>AC60-AG60</f>
        <v>10</v>
      </c>
      <c r="AI60" s="178">
        <f>IF(AH60&gt;0,1,0)</f>
        <v>1</v>
      </c>
      <c r="AJ60" s="196">
        <f>((('Rate Tables'!D14*9)*0.02778)/5)*AH60*AI60*F60</f>
        <v>0</v>
      </c>
      <c r="AK60" s="197">
        <f>AL51</f>
        <v>0</v>
      </c>
      <c r="AL60" s="178"/>
      <c r="AM60" s="197">
        <f>IF(AK60&lt;0,AK60*0,1)*AK60</f>
        <v>0</v>
      </c>
      <c r="AN60" s="203">
        <f>AC60-(AH60*AI60)</f>
        <v>0</v>
      </c>
      <c r="AO60" s="178"/>
      <c r="AP60" s="191">
        <f>AP51</f>
        <v>3</v>
      </c>
      <c r="AQ60" s="212">
        <f>VLOOKUP(AQ51,'Lookup Tables'!$AB$22:$AC$31,2,FALSE)</f>
        <v>0</v>
      </c>
      <c r="AR60" s="213">
        <v>0</v>
      </c>
      <c r="AS60" s="208">
        <f>AN60-AR60</f>
        <v>0</v>
      </c>
      <c r="AT60" s="178">
        <f>IF(AS60&gt;0,1,0)</f>
        <v>0</v>
      </c>
      <c r="AU60" s="196">
        <f>((('Rate Tables'!E14*9)*0.02778)/5)*AS60*AT60*F60</f>
        <v>0</v>
      </c>
      <c r="AV60" s="197">
        <f>AW51</f>
        <v>0</v>
      </c>
      <c r="AW60" s="178"/>
      <c r="AX60" s="197"/>
      <c r="AY60" s="197"/>
      <c r="AZ60" s="178"/>
      <c r="BA60" s="308">
        <f>BB57</f>
        <v>10</v>
      </c>
      <c r="BB60" s="225"/>
      <c r="BC60" s="227"/>
      <c r="BD60" s="275"/>
      <c r="BE60" s="12" t="s">
        <v>418</v>
      </c>
    </row>
    <row r="61" spans="1:57" ht="13.5" customHeight="1" x14ac:dyDescent="0.25">
      <c r="A61" s="296"/>
      <c r="B61" s="116"/>
      <c r="C61" s="117" t="s">
        <v>597</v>
      </c>
      <c r="D61" s="178"/>
      <c r="E61" s="153" t="s">
        <v>84</v>
      </c>
      <c r="F61" s="153" t="s">
        <v>42</v>
      </c>
      <c r="G61" s="153" t="s">
        <v>41</v>
      </c>
      <c r="H61" s="183" t="s">
        <v>77</v>
      </c>
      <c r="I61" s="209" t="s">
        <v>105</v>
      </c>
      <c r="J61" s="210" t="s">
        <v>106</v>
      </c>
      <c r="K61" s="153" t="s">
        <v>99</v>
      </c>
      <c r="L61" s="153" t="s">
        <v>100</v>
      </c>
      <c r="M61" s="153" t="s">
        <v>82</v>
      </c>
      <c r="N61" s="153" t="s">
        <v>32</v>
      </c>
      <c r="O61" s="153" t="s">
        <v>69</v>
      </c>
      <c r="P61" s="153" t="s">
        <v>72</v>
      </c>
      <c r="Q61" s="153" t="s">
        <v>103</v>
      </c>
      <c r="R61" s="183" t="s">
        <v>77</v>
      </c>
      <c r="S61" s="209" t="s">
        <v>105</v>
      </c>
      <c r="T61" s="210" t="s">
        <v>106</v>
      </c>
      <c r="U61" s="178" t="s">
        <v>98</v>
      </c>
      <c r="V61" s="153" t="s">
        <v>100</v>
      </c>
      <c r="W61" s="153" t="s">
        <v>33</v>
      </c>
      <c r="X61" s="153" t="s">
        <v>69</v>
      </c>
      <c r="Y61" s="153"/>
      <c r="Z61" s="153"/>
      <c r="AA61" s="178"/>
      <c r="AB61" s="153" t="s">
        <v>72</v>
      </c>
      <c r="AC61" s="153" t="s">
        <v>104</v>
      </c>
      <c r="AD61" s="153"/>
      <c r="AE61" s="183" t="s">
        <v>77</v>
      </c>
      <c r="AF61" s="209" t="s">
        <v>105</v>
      </c>
      <c r="AG61" s="210" t="s">
        <v>106</v>
      </c>
      <c r="AH61" s="178" t="s">
        <v>98</v>
      </c>
      <c r="AI61" s="153" t="s">
        <v>100</v>
      </c>
      <c r="AJ61" s="153" t="s">
        <v>34</v>
      </c>
      <c r="AK61" s="153" t="s">
        <v>69</v>
      </c>
      <c r="AL61" s="178"/>
      <c r="AM61" s="153" t="s">
        <v>72</v>
      </c>
      <c r="AN61" s="153" t="s">
        <v>104</v>
      </c>
      <c r="AO61" s="153"/>
      <c r="AP61" s="183" t="s">
        <v>77</v>
      </c>
      <c r="AQ61" s="209" t="s">
        <v>105</v>
      </c>
      <c r="AR61" s="210" t="s">
        <v>106</v>
      </c>
      <c r="AS61" s="178" t="s">
        <v>98</v>
      </c>
      <c r="AT61" s="153" t="s">
        <v>100</v>
      </c>
      <c r="AU61" s="153" t="s">
        <v>34</v>
      </c>
      <c r="AV61" s="153" t="s">
        <v>69</v>
      </c>
      <c r="AW61" s="178"/>
      <c r="AX61" s="178"/>
      <c r="AY61" s="178"/>
      <c r="AZ61" s="178"/>
      <c r="BA61" s="227"/>
      <c r="BB61" s="224"/>
      <c r="BC61" s="227" t="s">
        <v>451</v>
      </c>
      <c r="BD61" s="275">
        <f>(VLOOKUP($B49,'Rate Tables'!$O$2:$P$8,2,FALSE))</f>
        <v>0.2697</v>
      </c>
      <c r="BE61" s="372">
        <f>VLOOKUP('F&amp;ARatesCalc'!$B$1,'F&amp;ARatesCalc'!$A$3:$B$5,2,FALSE)</f>
        <v>0.56999999999999995</v>
      </c>
    </row>
    <row r="62" spans="1:57" ht="13.5" customHeight="1" x14ac:dyDescent="0.25">
      <c r="A62" s="296"/>
      <c r="B62" s="116"/>
      <c r="C62" s="115"/>
      <c r="D62" s="178"/>
      <c r="E62" s="211">
        <f>E60</f>
        <v>10</v>
      </c>
      <c r="F62" s="190">
        <f>IF($D$4=2023,1,0)</f>
        <v>1</v>
      </c>
      <c r="G62" s="178">
        <f>IF($B57="Yes",$C$5,$I57)</f>
        <v>12</v>
      </c>
      <c r="H62" s="191">
        <f>H53</f>
        <v>3</v>
      </c>
      <c r="I62" s="212">
        <f>VLOOKUP(J53,'Lookup Tables'!$AB$22:$AC$31,2,FALSE)</f>
        <v>32</v>
      </c>
      <c r="J62" s="213">
        <f>VLOOKUP(U53,'Lookup Tables'!$AB$32:$AC$41,2,FALSE)</f>
        <v>33</v>
      </c>
      <c r="K62" s="203">
        <f>E62-J62</f>
        <v>-23</v>
      </c>
      <c r="L62" s="178">
        <f>IF(K62&gt;0,1,0)</f>
        <v>0</v>
      </c>
      <c r="M62" s="195">
        <f>M53</f>
        <v>0</v>
      </c>
      <c r="N62" s="196">
        <f>((((('Rate Tables'!C14*9)*0.02778)/5)*K62)*L62)*F62*M62</f>
        <v>0</v>
      </c>
      <c r="O62" s="197">
        <f>O53</f>
        <v>12</v>
      </c>
      <c r="P62" s="197">
        <f>IF(O62&lt;0,O62*0,1)*O62</f>
        <v>12</v>
      </c>
      <c r="Q62" s="203">
        <f>(E62-K62*F62*L62*M62)</f>
        <v>10</v>
      </c>
      <c r="R62" s="191">
        <f>S53</f>
        <v>3</v>
      </c>
      <c r="S62" s="212">
        <f>VLOOKUP(U53,'Lookup Tables'!$AB$22:$AC$31,2,FALSE)</f>
        <v>32</v>
      </c>
      <c r="T62" s="213">
        <f>VLOOKUP(AF53,'Lookup Tables'!$AB$32:$AC$41,2,FALSE)</f>
        <v>33</v>
      </c>
      <c r="U62" s="206">
        <f>Q62-T62</f>
        <v>-23</v>
      </c>
      <c r="V62" s="178">
        <f>IF(U62&gt;0,1,0)</f>
        <v>0</v>
      </c>
      <c r="W62" s="196">
        <f>((('Rate Tables'!D14*9)*0.02778)/5)*U62*F62*V62</f>
        <v>0</v>
      </c>
      <c r="X62" s="197">
        <f>AA53</f>
        <v>2</v>
      </c>
      <c r="Y62" s="178"/>
      <c r="Z62" s="195"/>
      <c r="AA62" s="178"/>
      <c r="AB62" s="197">
        <f>IF(X62&lt;0,X62*0,1)*X62</f>
        <v>2</v>
      </c>
      <c r="AC62" s="203">
        <f>Q62-(U62*V62)</f>
        <v>10</v>
      </c>
      <c r="AD62" s="178"/>
      <c r="AE62" s="191">
        <f>AE53</f>
        <v>1</v>
      </c>
      <c r="AF62" s="212">
        <f>VLOOKUP(AF53,'Lookup Tables'!$AB$22:$AC$31,2,FALSE)</f>
        <v>32</v>
      </c>
      <c r="AG62" s="213">
        <f>VLOOKUP(AQ53,'Lookup Tables'!$AB$32:$AC$41,2,FALSE)</f>
        <v>0</v>
      </c>
      <c r="AH62" s="208">
        <f>AC62-AG62</f>
        <v>10</v>
      </c>
      <c r="AI62" s="178">
        <f>IF(AH62&gt;0,1,0)</f>
        <v>1</v>
      </c>
      <c r="AJ62" s="196">
        <f>((('Rate Tables'!E14*9)*0.02778)/5)*AH62*AI62*F62</f>
        <v>0</v>
      </c>
      <c r="AK62" s="197">
        <f>AL53</f>
        <v>0</v>
      </c>
      <c r="AL62" s="178"/>
      <c r="AM62" s="197">
        <f>IF(AK62&lt;0,AK62*0,1)*AK62</f>
        <v>0</v>
      </c>
      <c r="AN62" s="203">
        <f>AC62-(AH62*AI62)</f>
        <v>0</v>
      </c>
      <c r="AO62" s="178"/>
      <c r="AP62" s="191">
        <f>AP53</f>
        <v>3</v>
      </c>
      <c r="AQ62" s="212">
        <f>VLOOKUP(AQ53,'Lookup Tables'!$AB$22:$AC$31,2,FALSE)</f>
        <v>0</v>
      </c>
      <c r="AR62" s="213">
        <v>0</v>
      </c>
      <c r="AS62" s="208">
        <f>AN62-AR62</f>
        <v>0</v>
      </c>
      <c r="AT62" s="178">
        <f>IF(AS62&gt;0,1,0)</f>
        <v>0</v>
      </c>
      <c r="AU62" s="196">
        <f>((('Rate Tables'!F14*9)*0.02778)/5)*AS62*AT62*F62</f>
        <v>0</v>
      </c>
      <c r="AV62" s="197">
        <f>AW53</f>
        <v>0</v>
      </c>
      <c r="AW62" s="178"/>
      <c r="AX62" s="178"/>
      <c r="AY62" s="178"/>
      <c r="AZ62" s="178"/>
      <c r="BA62" s="227"/>
      <c r="BB62" s="12"/>
      <c r="BC62" s="227" t="s">
        <v>452</v>
      </c>
      <c r="BD62" s="275">
        <f>_xlfn.IFNA(BD61,0)</f>
        <v>0.2697</v>
      </c>
      <c r="BE62" s="12" t="s">
        <v>417</v>
      </c>
    </row>
    <row r="63" spans="1:57" ht="13.5" customHeight="1" x14ac:dyDescent="0.25">
      <c r="A63" s="296"/>
      <c r="B63" s="116"/>
      <c r="C63" s="117" t="s">
        <v>664</v>
      </c>
      <c r="D63" s="178"/>
      <c r="E63" s="153" t="s">
        <v>84</v>
      </c>
      <c r="F63" s="153" t="s">
        <v>42</v>
      </c>
      <c r="G63" s="153" t="s">
        <v>41</v>
      </c>
      <c r="H63" s="183" t="s">
        <v>77</v>
      </c>
      <c r="I63" s="209" t="s">
        <v>105</v>
      </c>
      <c r="J63" s="210" t="s">
        <v>106</v>
      </c>
      <c r="K63" s="153" t="s">
        <v>99</v>
      </c>
      <c r="L63" s="153" t="s">
        <v>100</v>
      </c>
      <c r="M63" s="153" t="s">
        <v>82</v>
      </c>
      <c r="N63" s="153" t="s">
        <v>32</v>
      </c>
      <c r="O63" s="153" t="s">
        <v>69</v>
      </c>
      <c r="P63" s="153" t="s">
        <v>72</v>
      </c>
      <c r="Q63" s="153" t="s">
        <v>103</v>
      </c>
      <c r="R63" s="183" t="s">
        <v>77</v>
      </c>
      <c r="S63" s="209" t="s">
        <v>105</v>
      </c>
      <c r="T63" s="210" t="s">
        <v>106</v>
      </c>
      <c r="U63" s="178" t="s">
        <v>98</v>
      </c>
      <c r="V63" s="153" t="s">
        <v>100</v>
      </c>
      <c r="W63" s="153" t="s">
        <v>33</v>
      </c>
      <c r="X63" s="153" t="s">
        <v>69</v>
      </c>
      <c r="Y63" s="153"/>
      <c r="Z63" s="153"/>
      <c r="AA63" s="178"/>
      <c r="AB63" s="153" t="s">
        <v>72</v>
      </c>
      <c r="AC63" s="153" t="s">
        <v>104</v>
      </c>
      <c r="AD63" s="153"/>
      <c r="AE63" s="183" t="s">
        <v>77</v>
      </c>
      <c r="AF63" s="209" t="s">
        <v>105</v>
      </c>
      <c r="AG63" s="210" t="s">
        <v>106</v>
      </c>
      <c r="AH63" s="178" t="s">
        <v>98</v>
      </c>
      <c r="AI63" s="153" t="s">
        <v>100</v>
      </c>
      <c r="AJ63" s="153" t="s">
        <v>34</v>
      </c>
      <c r="AK63" s="153" t="s">
        <v>69</v>
      </c>
      <c r="AL63" s="178"/>
      <c r="AM63" s="153" t="s">
        <v>72</v>
      </c>
      <c r="AN63" s="153" t="s">
        <v>104</v>
      </c>
      <c r="AO63" s="153"/>
      <c r="AP63" s="183" t="s">
        <v>77</v>
      </c>
      <c r="AQ63" s="209" t="s">
        <v>105</v>
      </c>
      <c r="AR63" s="210" t="s">
        <v>106</v>
      </c>
      <c r="AS63" s="178" t="s">
        <v>98</v>
      </c>
      <c r="AT63" s="153" t="s">
        <v>100</v>
      </c>
      <c r="AU63" s="153" t="s">
        <v>34</v>
      </c>
      <c r="AV63" s="153" t="s">
        <v>69</v>
      </c>
      <c r="AW63" s="178"/>
      <c r="AX63" s="178"/>
      <c r="AY63" s="178"/>
      <c r="AZ63" s="178"/>
      <c r="BA63" s="227"/>
      <c r="BB63" s="12"/>
      <c r="BC63" s="227"/>
      <c r="BD63" s="275"/>
      <c r="BE63" s="12"/>
    </row>
    <row r="64" spans="1:57" ht="13.5" customHeight="1" x14ac:dyDescent="0.25">
      <c r="A64" s="296"/>
      <c r="B64" s="116"/>
      <c r="C64" s="115"/>
      <c r="D64" s="178"/>
      <c r="E64" s="211">
        <f>E62</f>
        <v>10</v>
      </c>
      <c r="F64" s="190">
        <f>IF($D$4=2024,1,0)</f>
        <v>0</v>
      </c>
      <c r="G64" s="178">
        <f>IF($B57="Yes",$C$5,$I57)</f>
        <v>12</v>
      </c>
      <c r="H64" s="191">
        <f>H55</f>
        <v>3</v>
      </c>
      <c r="I64" s="212">
        <f>VLOOKUP(J55,'Lookup Tables'!$AB$22:$AC$31,2,FALSE)</f>
        <v>32</v>
      </c>
      <c r="J64" s="213">
        <f>VLOOKUP(U55,'Lookup Tables'!$AB$32:$AC$41,2,FALSE)</f>
        <v>33</v>
      </c>
      <c r="K64" s="203">
        <f>E64-J64</f>
        <v>-23</v>
      </c>
      <c r="L64" s="178">
        <f>IF(K64&gt;0,1,0)</f>
        <v>0</v>
      </c>
      <c r="M64" s="195">
        <f>M55</f>
        <v>0</v>
      </c>
      <c r="N64" s="196">
        <f>((((('Rate Tables'!D14*9)*0.02778)/5)*K64)*L64)*F64*M64</f>
        <v>0</v>
      </c>
      <c r="O64" s="197">
        <f>O55</f>
        <v>12</v>
      </c>
      <c r="P64" s="197">
        <f>IF(O64&lt;0,O64*0,1)*O64</f>
        <v>12</v>
      </c>
      <c r="Q64" s="203">
        <f>(E64-K64*F64*L64*M64)</f>
        <v>10</v>
      </c>
      <c r="R64" s="191">
        <f>S55</f>
        <v>3</v>
      </c>
      <c r="S64" s="212">
        <f>VLOOKUP(U55,'Lookup Tables'!$AB$22:$AC$31,2,FALSE)</f>
        <v>32</v>
      </c>
      <c r="T64" s="213">
        <f>VLOOKUP(AF55,'Lookup Tables'!$AB$32:$AC$41,2,FALSE)</f>
        <v>33</v>
      </c>
      <c r="U64" s="206">
        <f>Q64-T64</f>
        <v>-23</v>
      </c>
      <c r="V64" s="178">
        <f>IF(U64&gt;0,1,0)</f>
        <v>0</v>
      </c>
      <c r="W64" s="196">
        <f>((('Rate Tables'!E14*9)*0.02778)/5)*U64*F64*V64</f>
        <v>0</v>
      </c>
      <c r="X64" s="197">
        <f>AA55</f>
        <v>2</v>
      </c>
      <c r="Y64" s="178"/>
      <c r="Z64" s="195"/>
      <c r="AA64" s="178"/>
      <c r="AB64" s="197">
        <f>IF(X64&lt;0,X64*0,1)*X64</f>
        <v>2</v>
      </c>
      <c r="AC64" s="203">
        <f>Q64-(U64*V64)</f>
        <v>10</v>
      </c>
      <c r="AD64" s="178"/>
      <c r="AE64" s="191">
        <f>AE55</f>
        <v>1</v>
      </c>
      <c r="AF64" s="212">
        <f>VLOOKUP(AF55,'Lookup Tables'!$AB$22:$AC$31,2,FALSE)</f>
        <v>32</v>
      </c>
      <c r="AG64" s="213">
        <f>VLOOKUP(AQ55,'Lookup Tables'!$AB$32:$AC$41,2,FALSE)</f>
        <v>0</v>
      </c>
      <c r="AH64" s="208">
        <f>AC64-AG64</f>
        <v>10</v>
      </c>
      <c r="AI64" s="178">
        <f>IF(AH64&gt;0,1,0)</f>
        <v>1</v>
      </c>
      <c r="AJ64" s="196">
        <f>((('Rate Tables'!F14*9)*0.02778)/5)*AH64*AI64*F64</f>
        <v>0</v>
      </c>
      <c r="AK64" s="197">
        <f>AL55</f>
        <v>0</v>
      </c>
      <c r="AL64" s="178"/>
      <c r="AM64" s="197">
        <f>IF(AK64&lt;0,AK64*0,1)*AK64</f>
        <v>0</v>
      </c>
      <c r="AN64" s="203">
        <f>AC64-(AH64*AI64)</f>
        <v>0</v>
      </c>
      <c r="AO64" s="178"/>
      <c r="AP64" s="191">
        <f>AP55</f>
        <v>3</v>
      </c>
      <c r="AQ64" s="212">
        <f>VLOOKUP(AQ55,'Lookup Tables'!$AB$22:$AC$31,2,FALSE)</f>
        <v>0</v>
      </c>
      <c r="AR64" s="213">
        <v>0</v>
      </c>
      <c r="AS64" s="208">
        <f>AN64-AR64</f>
        <v>0</v>
      </c>
      <c r="AT64" s="178">
        <f>IF(AS64&gt;0,1,0)</f>
        <v>0</v>
      </c>
      <c r="AU64" s="196">
        <f>((('Rate Tables'!G14*9)*0.02778)/5)*AS64*AT64*F64</f>
        <v>0</v>
      </c>
      <c r="AV64" s="197">
        <f>AW55</f>
        <v>0</v>
      </c>
      <c r="AW64" s="178"/>
      <c r="AX64" s="178"/>
      <c r="AY64" s="178"/>
      <c r="AZ64" s="178"/>
      <c r="BA64" s="227"/>
      <c r="BB64" s="12"/>
      <c r="BC64" s="227"/>
      <c r="BD64" s="275"/>
      <c r="BE64" s="12"/>
    </row>
    <row r="65" spans="1:57" ht="13.5" customHeight="1" thickBot="1" x14ac:dyDescent="0.3">
      <c r="A65" s="296"/>
      <c r="B65" s="116"/>
      <c r="C65" s="114"/>
      <c r="D65" s="178"/>
      <c r="E65" s="178"/>
      <c r="F65" s="178"/>
      <c r="G65" s="491" t="s">
        <v>559</v>
      </c>
      <c r="H65" s="178">
        <f>BA60</f>
        <v>10</v>
      </c>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307"/>
      <c r="BB65" s="12"/>
      <c r="BC65" s="227" t="s">
        <v>453</v>
      </c>
      <c r="BD65" s="275">
        <f>IF(BD62=0,0,BD61)</f>
        <v>0.2697</v>
      </c>
      <c r="BE65" s="12">
        <f>(BD58+BD66)*BE61</f>
        <v>0</v>
      </c>
    </row>
    <row r="66" spans="1:57" ht="13.5" customHeight="1" thickBot="1" x14ac:dyDescent="0.3">
      <c r="A66" s="380">
        <f>Personnel!M22</f>
        <v>0</v>
      </c>
      <c r="B66" s="273">
        <f>Personnel!M23</f>
        <v>0</v>
      </c>
      <c r="C66" s="114"/>
      <c r="D66" s="178"/>
      <c r="E66" s="178"/>
      <c r="F66" s="178"/>
      <c r="G66" s="491" t="s">
        <v>560</v>
      </c>
      <c r="H66" s="178">
        <f>VLOOKUP(H60,'Lookup Tables'!$L$62:$Y$74,MATCH(G60,'Lookup Tables'!$L$62:$Y$62,FALSE))</f>
        <v>65</v>
      </c>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309"/>
      <c r="BB66" s="274"/>
      <c r="BC66" s="278" t="s">
        <v>415</v>
      </c>
      <c r="BD66" s="279">
        <f>BD58*BD65</f>
        <v>0</v>
      </c>
      <c r="BE66" s="373">
        <f>BD58+BD66+BE65</f>
        <v>0</v>
      </c>
    </row>
    <row r="67" spans="1:57" ht="6" customHeight="1" thickBot="1" x14ac:dyDescent="0.3">
      <c r="A67" s="296"/>
      <c r="B67" s="116"/>
      <c r="C67" s="114"/>
      <c r="D67" s="178"/>
      <c r="E67" s="178"/>
      <c r="F67" s="178"/>
      <c r="G67" s="178"/>
      <c r="H67" s="178"/>
      <c r="I67" s="178"/>
      <c r="J67" s="178"/>
      <c r="K67" s="178"/>
      <c r="L67" s="178"/>
      <c r="M67" s="178"/>
      <c r="N67" s="178"/>
      <c r="O67" s="178"/>
      <c r="P67" s="178"/>
      <c r="Q67" s="178"/>
      <c r="R67" s="178"/>
      <c r="S67" s="178"/>
      <c r="T67" s="178"/>
      <c r="U67" s="178"/>
      <c r="V67" s="178"/>
      <c r="W67" s="178"/>
      <c r="X67" s="178"/>
      <c r="Y67" s="178"/>
      <c r="Z67" s="214"/>
      <c r="AA67" s="214"/>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227"/>
      <c r="BB67" s="12"/>
      <c r="BC67" s="227"/>
      <c r="BD67" s="275"/>
      <c r="BE67" s="374"/>
    </row>
    <row r="68" spans="1:57" ht="13.5" customHeight="1" x14ac:dyDescent="0.25">
      <c r="A68" s="298" t="s">
        <v>174</v>
      </c>
      <c r="B68" s="294" t="s">
        <v>338</v>
      </c>
      <c r="C68" s="180" t="s">
        <v>605</v>
      </c>
      <c r="D68" s="181"/>
      <c r="E68" s="181"/>
      <c r="F68" s="181"/>
      <c r="G68" s="181"/>
      <c r="H68" s="181"/>
      <c r="I68" s="181"/>
      <c r="J68" s="181"/>
      <c r="K68" s="181"/>
      <c r="L68" s="181"/>
      <c r="M68" s="181"/>
      <c r="N68" s="181"/>
      <c r="O68" s="181">
        <v>21</v>
      </c>
      <c r="P68" s="181"/>
      <c r="Q68" s="181"/>
      <c r="R68" s="181"/>
      <c r="S68" s="181"/>
      <c r="T68" s="181"/>
      <c r="U68" s="181"/>
      <c r="V68" s="181"/>
      <c r="W68" s="181"/>
      <c r="X68" s="181"/>
      <c r="Y68" s="181"/>
      <c r="Z68" s="493">
        <v>44378</v>
      </c>
      <c r="AA68" s="493">
        <v>44742</v>
      </c>
      <c r="AB68" s="181"/>
      <c r="AC68" s="181"/>
      <c r="AD68" s="181"/>
      <c r="AE68" s="181"/>
      <c r="AF68" s="181"/>
      <c r="AG68" s="181"/>
      <c r="AH68" s="181"/>
      <c r="AI68" s="181"/>
      <c r="AJ68" s="181"/>
      <c r="AK68" s="181"/>
      <c r="AL68" s="181">
        <v>23</v>
      </c>
      <c r="AM68" s="181"/>
      <c r="AN68" s="181"/>
      <c r="AO68" s="181"/>
      <c r="AP68" s="181"/>
      <c r="AQ68" s="181"/>
      <c r="AR68" s="181"/>
      <c r="AS68" s="181"/>
      <c r="AT68" s="181"/>
      <c r="AU68" s="181"/>
      <c r="AV68" s="181"/>
      <c r="AW68" s="181">
        <v>23</v>
      </c>
      <c r="AX68" s="181"/>
      <c r="AY68" s="181"/>
      <c r="AZ68" s="181"/>
      <c r="BA68" s="282"/>
      <c r="BB68" s="144"/>
      <c r="BC68" s="282"/>
      <c r="BD68" s="283"/>
      <c r="BE68" s="12"/>
    </row>
    <row r="69" spans="1:57" ht="13.5" customHeight="1" x14ac:dyDescent="0.25">
      <c r="A69" s="345">
        <f>Personnel!C28</f>
        <v>0</v>
      </c>
      <c r="B69" s="346" t="str">
        <f>Personnel!C27</f>
        <v>Faculty</v>
      </c>
      <c r="C69" s="347">
        <f>Personnel!C29</f>
        <v>0</v>
      </c>
      <c r="D69" s="178"/>
      <c r="E69" s="178"/>
      <c r="F69" s="178"/>
      <c r="G69" s="178"/>
      <c r="H69" s="178"/>
      <c r="I69" s="178"/>
      <c r="J69" s="178"/>
      <c r="K69" s="178"/>
      <c r="L69" s="178"/>
      <c r="M69" s="178"/>
      <c r="N69" s="178"/>
      <c r="O69" s="178">
        <v>22</v>
      </c>
      <c r="P69" s="178"/>
      <c r="Q69" s="178"/>
      <c r="R69" s="178"/>
      <c r="S69" s="178"/>
      <c r="T69" s="178"/>
      <c r="U69" s="178"/>
      <c r="V69" s="178"/>
      <c r="W69" s="178"/>
      <c r="X69" s="178"/>
      <c r="Y69" s="178"/>
      <c r="Z69" s="178"/>
      <c r="AA69" s="178">
        <v>23</v>
      </c>
      <c r="AB69" s="178"/>
      <c r="AC69" s="178"/>
      <c r="AD69" s="178"/>
      <c r="AE69" s="178"/>
      <c r="AF69" s="178"/>
      <c r="AG69" s="178"/>
      <c r="AH69" s="178"/>
      <c r="AI69" s="178"/>
      <c r="AJ69" s="178"/>
      <c r="AK69" s="178"/>
      <c r="AL69" s="178">
        <v>24</v>
      </c>
      <c r="AM69" s="178"/>
      <c r="AN69" s="178"/>
      <c r="AO69" s="178"/>
      <c r="AP69" s="178"/>
      <c r="AQ69" s="178"/>
      <c r="AR69" s="178"/>
      <c r="AS69" s="178"/>
      <c r="AT69" s="178"/>
      <c r="AU69" s="178"/>
      <c r="AV69" s="178"/>
      <c r="AW69" s="178">
        <v>24</v>
      </c>
      <c r="AX69" s="178"/>
      <c r="AY69" s="178"/>
      <c r="AZ69" s="178"/>
      <c r="BA69" s="306" t="s">
        <v>412</v>
      </c>
      <c r="BB69" s="348">
        <f>Personnel!O27</f>
        <v>0</v>
      </c>
      <c r="BC69" s="276" t="s">
        <v>414</v>
      </c>
      <c r="BD69" s="277">
        <f>(N71+N73+N75+Z71+Z73+Z75+AK71+AK73+AK75+AV71+AV73+AV75)*BB76</f>
        <v>0</v>
      </c>
      <c r="BE69" s="224"/>
    </row>
    <row r="70" spans="1:57" ht="13.5" customHeight="1" x14ac:dyDescent="0.25">
      <c r="A70" s="296"/>
      <c r="B70" s="116"/>
      <c r="C70" s="117" t="s">
        <v>30</v>
      </c>
      <c r="D70" s="178"/>
      <c r="E70" s="153" t="s">
        <v>16</v>
      </c>
      <c r="F70" s="153" t="s">
        <v>42</v>
      </c>
      <c r="G70" s="153" t="s">
        <v>41</v>
      </c>
      <c r="H70" s="183" t="s">
        <v>77</v>
      </c>
      <c r="I70" s="184" t="s">
        <v>90</v>
      </c>
      <c r="J70" s="185" t="s">
        <v>70</v>
      </c>
      <c r="K70" s="186" t="s">
        <v>93</v>
      </c>
      <c r="L70" s="153" t="s">
        <v>35</v>
      </c>
      <c r="M70" s="153" t="s">
        <v>82</v>
      </c>
      <c r="N70" s="153" t="s">
        <v>31</v>
      </c>
      <c r="O70" s="153" t="s">
        <v>69</v>
      </c>
      <c r="P70" s="153" t="s">
        <v>72</v>
      </c>
      <c r="Q70" s="183" t="s">
        <v>80</v>
      </c>
      <c r="R70" s="187" t="s">
        <v>81</v>
      </c>
      <c r="S70" s="183" t="s">
        <v>77</v>
      </c>
      <c r="T70" s="598" t="s">
        <v>83</v>
      </c>
      <c r="U70" s="185" t="s">
        <v>70</v>
      </c>
      <c r="V70" s="153" t="s">
        <v>91</v>
      </c>
      <c r="W70" s="153" t="s">
        <v>43</v>
      </c>
      <c r="X70" s="153" t="s">
        <v>53</v>
      </c>
      <c r="Y70" s="153" t="s">
        <v>68</v>
      </c>
      <c r="Z70" s="153" t="s">
        <v>32</v>
      </c>
      <c r="AA70" s="153" t="s">
        <v>69</v>
      </c>
      <c r="AB70" s="153" t="s">
        <v>72</v>
      </c>
      <c r="AC70" s="153" t="s">
        <v>80</v>
      </c>
      <c r="AD70" s="187" t="s">
        <v>81</v>
      </c>
      <c r="AE70" s="183" t="s">
        <v>77</v>
      </c>
      <c r="AF70" s="185" t="s">
        <v>70</v>
      </c>
      <c r="AG70" s="153" t="s">
        <v>92</v>
      </c>
      <c r="AH70" s="153" t="s">
        <v>44</v>
      </c>
      <c r="AI70" s="153" t="s">
        <v>78</v>
      </c>
      <c r="AJ70" s="153" t="s">
        <v>68</v>
      </c>
      <c r="AK70" s="153" t="s">
        <v>33</v>
      </c>
      <c r="AL70" s="153" t="s">
        <v>69</v>
      </c>
      <c r="AM70" s="153" t="s">
        <v>72</v>
      </c>
      <c r="AN70" s="153" t="s">
        <v>80</v>
      </c>
      <c r="AO70" s="187" t="s">
        <v>81</v>
      </c>
      <c r="AP70" s="183" t="s">
        <v>77</v>
      </c>
      <c r="AQ70" s="185" t="s">
        <v>70</v>
      </c>
      <c r="AR70" s="153" t="s">
        <v>92</v>
      </c>
      <c r="AS70" s="153" t="s">
        <v>44</v>
      </c>
      <c r="AT70" s="153" t="s">
        <v>78</v>
      </c>
      <c r="AU70" s="153" t="s">
        <v>68</v>
      </c>
      <c r="AV70" s="153" t="s">
        <v>33</v>
      </c>
      <c r="AW70" s="153" t="s">
        <v>69</v>
      </c>
      <c r="AX70" s="153"/>
      <c r="AY70" s="153"/>
      <c r="AZ70" s="178"/>
      <c r="BA70" s="227"/>
      <c r="BB70" s="349"/>
      <c r="BC70" s="227"/>
      <c r="BD70" s="275"/>
      <c r="BE70" s="12"/>
    </row>
    <row r="71" spans="1:57" ht="13.5" customHeight="1" x14ac:dyDescent="0.25">
      <c r="A71" s="296"/>
      <c r="B71" s="116"/>
      <c r="C71" s="115"/>
      <c r="D71" s="178"/>
      <c r="E71" s="189">
        <f>BB69</f>
        <v>0</v>
      </c>
      <c r="F71" s="190">
        <f>IF($D$4=2022,1,0)</f>
        <v>0</v>
      </c>
      <c r="G71" s="178">
        <f>IF($B77="Yes",$C$5,$I77)</f>
        <v>12</v>
      </c>
      <c r="H71" s="191">
        <f>VLOOKUP(H76,'Lookup Tables'!$A$22:$B$33,2,FALSE)</f>
        <v>3</v>
      </c>
      <c r="I71" s="192">
        <f>VLOOKUP($E$4,'Lookup Tables'!$AB$46:$AN$58,MATCH($H71,'Lookup Tables'!$AB$46:$AN$46),FALSE)</f>
        <v>12</v>
      </c>
      <c r="J71" s="193">
        <f>VLOOKUP(H71,'Lookup Tables'!$A$3:$AA$16,MATCH(PersonCalcYr2!$G71,'Lookup Tables'!$A$3:$AA$3),FALSE)</f>
        <v>1.5161</v>
      </c>
      <c r="K71" s="194">
        <f>VLOOKUP($H76,'Lookup Tables'!$K$23:$L$34,2,FALSE)</f>
        <v>0</v>
      </c>
      <c r="L71" s="178">
        <f>IF(G71&lt;=K71,G71,K71)</f>
        <v>0</v>
      </c>
      <c r="M71" s="195">
        <f>IF(12-I71&gt;=1,1,0)</f>
        <v>0</v>
      </c>
      <c r="N71" s="196">
        <f>(('Rate Tables'!B19*PersonCalcYr2!E71)*PersonCalcYr2!L71)*PersonCalcYr2!F71*M71</f>
        <v>0</v>
      </c>
      <c r="O71" s="197">
        <f>G71-((J71+L71)*M71)</f>
        <v>12</v>
      </c>
      <c r="P71" s="197">
        <f>IF(O71&lt;0,O71*0,1)*O71</f>
        <v>12</v>
      </c>
      <c r="Q71" s="198">
        <f>H71+(L71*M71)+(J71*M71)</f>
        <v>3</v>
      </c>
      <c r="R71" s="199" t="str">
        <f>VLOOKUP(Q71,'Lookup Tables'!$A$38:$B$151,2,FALSE)</f>
        <v>Sept</v>
      </c>
      <c r="S71" s="191">
        <f>VLOOKUP(R71,'Lookup Tables'!$A$22:$B$33,2,FALSE)</f>
        <v>3</v>
      </c>
      <c r="T71" s="599">
        <f>VLOOKUP($E$4,'Lookup Tables'!$AB$63:$AN$75,MATCH(PersonCalcYr2!$S71,'Lookup Tables'!$AB$63:$AN$63),FALSE)</f>
        <v>0.5161</v>
      </c>
      <c r="U71" s="200">
        <f>VLOOKUP(S71,'Lookup Tables'!$A$3:$AA$16,MATCH(PersonCalcYr2!$P71,'Lookup Tables'!$A$3:$AA$3),FALSE)</f>
        <v>1.5161</v>
      </c>
      <c r="V71" s="496">
        <f>9-T71</f>
        <v>8.4839000000000002</v>
      </c>
      <c r="W71" s="201">
        <f>P71-U71</f>
        <v>10.4839</v>
      </c>
      <c r="X71" s="195">
        <f>IF(V71&lt;=W71,V71,W71)</f>
        <v>8.4839000000000002</v>
      </c>
      <c r="Y71" s="195">
        <f>IF(12-T71-U71-X71&gt;=0,1,0)</f>
        <v>1</v>
      </c>
      <c r="Z71" s="202">
        <f>((('Rate Tables'!C19*$E71)*PersonCalcYr2!$X71)*$F71)*Y71</f>
        <v>0</v>
      </c>
      <c r="AA71" s="197">
        <f>O71-(((U71*U77)+X71)*Y71)</f>
        <v>2</v>
      </c>
      <c r="AB71" s="197">
        <f>IF(AA71&lt;0,AA71*0,1)*AA71</f>
        <v>2</v>
      </c>
      <c r="AC71" s="601">
        <f>S71+(X71*Y71)+((U71*U77)*Y71)</f>
        <v>13</v>
      </c>
      <c r="AD71" s="199" t="str">
        <f>VLOOKUP(AC71,'Lookup Tables'!$A$38:$B$151,2,FALSE)</f>
        <v>July</v>
      </c>
      <c r="AE71" s="191">
        <f>VLOOKUP(AD71,'Lookup Tables'!$A$22:$B$33,2,FALSE)</f>
        <v>1</v>
      </c>
      <c r="AF71" s="200">
        <f>VLOOKUP(AE71,'Lookup Tables'!$A$3:$AA$16,MATCH(PersonCalcYr2!AB71,'Lookup Tables'!$A$3:$AA$3),FALSE)</f>
        <v>1.4839</v>
      </c>
      <c r="AG71" s="178">
        <v>9</v>
      </c>
      <c r="AH71" s="201">
        <f>AB71-AF71</f>
        <v>0.5161</v>
      </c>
      <c r="AI71" s="195">
        <f>IF(AG71&lt;=AH71,AG71,AH71)</f>
        <v>0.5161</v>
      </c>
      <c r="AJ71" s="195">
        <f>IF((AG71+AF71)&lt;=0,0,1)</f>
        <v>1</v>
      </c>
      <c r="AK71" s="204">
        <f>((('Rate Tables'!D19*$E71)*PersonCalcYr2!AI71)*$F71)*AJ71</f>
        <v>0</v>
      </c>
      <c r="AL71" s="197">
        <f>AB71-AF71-AI71</f>
        <v>0</v>
      </c>
      <c r="AM71" s="197">
        <f>IF(AL71&lt;0,AL71*0,1)*AL71</f>
        <v>0</v>
      </c>
      <c r="AN71" s="601">
        <f>AE71+(AI71*AJ71)+((AF71*AF77)*AJ71)</f>
        <v>3</v>
      </c>
      <c r="AO71" s="199" t="str">
        <f>VLOOKUP(AN71,'Lookup Tables'!$A$38:$B$151,2,FALSE)</f>
        <v>Sept</v>
      </c>
      <c r="AP71" s="191">
        <f>VLOOKUP(AO71,'Lookup Tables'!$A$22:$B$33,2,FALSE)</f>
        <v>3</v>
      </c>
      <c r="AQ71" s="200">
        <f>VLOOKUP(AP71,'Lookup Tables'!$A$3:$AA$16,MATCH(PersonCalcYr2!AM71,'Lookup Tables'!$A$3:$AA$3),FALSE)</f>
        <v>0</v>
      </c>
      <c r="AR71" s="178">
        <v>9</v>
      </c>
      <c r="AS71" s="201">
        <f>AM71-AQ71</f>
        <v>0</v>
      </c>
      <c r="AT71" s="195">
        <f>IF(AR71&lt;=AS71,AR71,AS71)</f>
        <v>0</v>
      </c>
      <c r="AU71" s="195">
        <f>IF((AR71+AQ71)&lt;=0,0,1)</f>
        <v>1</v>
      </c>
      <c r="AV71" s="204">
        <f>((('Rate Tables'!E19*$E71)*PersonCalcYr2!AT71)*$F71)*AU71</f>
        <v>0</v>
      </c>
      <c r="AW71" s="197">
        <f>AM71-AQ71-AT71</f>
        <v>0</v>
      </c>
      <c r="AX71" s="197"/>
      <c r="AY71" s="197"/>
      <c r="AZ71" s="178"/>
      <c r="BA71" s="227"/>
      <c r="BB71" s="350"/>
      <c r="BC71" s="227"/>
      <c r="BD71" s="275"/>
      <c r="BE71" s="12"/>
    </row>
    <row r="72" spans="1:57" ht="13.5" customHeight="1" x14ac:dyDescent="0.25">
      <c r="A72" s="296"/>
      <c r="B72" s="116"/>
      <c r="C72" s="117" t="s">
        <v>597</v>
      </c>
      <c r="D72" s="178"/>
      <c r="E72" s="153" t="s">
        <v>16</v>
      </c>
      <c r="F72" s="153" t="s">
        <v>42</v>
      </c>
      <c r="G72" s="153" t="s">
        <v>41</v>
      </c>
      <c r="H72" s="183" t="s">
        <v>77</v>
      </c>
      <c r="I72" s="184" t="s">
        <v>90</v>
      </c>
      <c r="J72" s="185" t="s">
        <v>70</v>
      </c>
      <c r="K72" s="186" t="s">
        <v>109</v>
      </c>
      <c r="L72" s="153" t="s">
        <v>53</v>
      </c>
      <c r="M72" s="153" t="s">
        <v>82</v>
      </c>
      <c r="N72" s="153" t="s">
        <v>32</v>
      </c>
      <c r="O72" s="153" t="s">
        <v>69</v>
      </c>
      <c r="P72" s="153" t="s">
        <v>72</v>
      </c>
      <c r="Q72" s="183" t="s">
        <v>80</v>
      </c>
      <c r="R72" s="187" t="s">
        <v>81</v>
      </c>
      <c r="S72" s="183" t="s">
        <v>77</v>
      </c>
      <c r="T72" s="598" t="s">
        <v>83</v>
      </c>
      <c r="U72" s="185" t="s">
        <v>70</v>
      </c>
      <c r="V72" s="153" t="s">
        <v>92</v>
      </c>
      <c r="W72" s="153" t="s">
        <v>44</v>
      </c>
      <c r="X72" s="153" t="s">
        <v>78</v>
      </c>
      <c r="Y72" s="153" t="s">
        <v>68</v>
      </c>
      <c r="Z72" s="153" t="s">
        <v>33</v>
      </c>
      <c r="AA72" s="153" t="s">
        <v>69</v>
      </c>
      <c r="AB72" s="153" t="s">
        <v>72</v>
      </c>
      <c r="AC72" s="153" t="s">
        <v>80</v>
      </c>
      <c r="AD72" s="187" t="s">
        <v>81</v>
      </c>
      <c r="AE72" s="183" t="s">
        <v>77</v>
      </c>
      <c r="AF72" s="185" t="s">
        <v>70</v>
      </c>
      <c r="AG72" s="153" t="s">
        <v>94</v>
      </c>
      <c r="AH72" s="153" t="s">
        <v>45</v>
      </c>
      <c r="AI72" s="153" t="s">
        <v>79</v>
      </c>
      <c r="AJ72" s="153" t="s">
        <v>68</v>
      </c>
      <c r="AK72" s="153" t="s">
        <v>34</v>
      </c>
      <c r="AL72" s="153" t="s">
        <v>69</v>
      </c>
      <c r="AM72" s="153" t="s">
        <v>72</v>
      </c>
      <c r="AN72" s="153" t="s">
        <v>80</v>
      </c>
      <c r="AO72" s="187" t="s">
        <v>81</v>
      </c>
      <c r="AP72" s="183" t="s">
        <v>77</v>
      </c>
      <c r="AQ72" s="185" t="s">
        <v>70</v>
      </c>
      <c r="AR72" s="153" t="s">
        <v>94</v>
      </c>
      <c r="AS72" s="153" t="s">
        <v>45</v>
      </c>
      <c r="AT72" s="153" t="s">
        <v>79</v>
      </c>
      <c r="AU72" s="153" t="s">
        <v>68</v>
      </c>
      <c r="AV72" s="153" t="s">
        <v>34</v>
      </c>
      <c r="AW72" s="153" t="s">
        <v>69</v>
      </c>
      <c r="AX72" s="153"/>
      <c r="AY72" s="153"/>
      <c r="AZ72" s="178"/>
      <c r="BA72" s="227"/>
      <c r="BB72" s="351"/>
      <c r="BC72" s="227"/>
      <c r="BD72" s="275"/>
      <c r="BE72" s="12"/>
    </row>
    <row r="73" spans="1:57" ht="13.5" customHeight="1" x14ac:dyDescent="0.25">
      <c r="A73" s="296"/>
      <c r="B73" s="116"/>
      <c r="C73" s="115"/>
      <c r="D73" s="178"/>
      <c r="E73" s="189">
        <f>BB69</f>
        <v>0</v>
      </c>
      <c r="F73" s="190">
        <f>IF($D$4=2023,1,0)</f>
        <v>1</v>
      </c>
      <c r="G73" s="178">
        <f>IF($B77="Yes",$C$5,$I77)</f>
        <v>12</v>
      </c>
      <c r="H73" s="191">
        <f>VLOOKUP(H76,'Lookup Tables'!$A$22:$B$33,2,FALSE)</f>
        <v>3</v>
      </c>
      <c r="I73" s="192">
        <f>VLOOKUP($E$4,'Lookup Tables'!$AB$46:$AN$58,MATCH($H73,'Lookup Tables'!$AB$46:$AN$46),FALSE)</f>
        <v>12</v>
      </c>
      <c r="J73" s="193">
        <f>VLOOKUP(H73,'Lookup Tables'!$A$3:$AA$16,MATCH(PersonCalcYr2!$G73,'Lookup Tables'!$A$3:$AA$3),FALSE)</f>
        <v>1.5161</v>
      </c>
      <c r="K73" s="194">
        <f>VLOOKUP($H76,'Lookup Tables'!$K$23:$L$34,2,FALSE)</f>
        <v>0</v>
      </c>
      <c r="L73" s="178">
        <f>IF(G73&lt;=K73,G73,K73)</f>
        <v>0</v>
      </c>
      <c r="M73" s="195">
        <f>IF(12-I73&gt;=1,1,0)</f>
        <v>0</v>
      </c>
      <c r="N73" s="196">
        <f>(('Rate Tables'!C19*PersonCalcYr2!E73)*PersonCalcYr2!L73)*PersonCalcYr2!F73*M73</f>
        <v>0</v>
      </c>
      <c r="O73" s="197">
        <f>G73-((J73+L73)*M73)</f>
        <v>12</v>
      </c>
      <c r="P73" s="197">
        <f>IF(O73&lt;0,O73*0,1)*O73</f>
        <v>12</v>
      </c>
      <c r="Q73" s="198">
        <f>H73+(L73*M73)+(J73*M73)</f>
        <v>3</v>
      </c>
      <c r="R73" s="199" t="str">
        <f>VLOOKUP(Q73,'Lookup Tables'!$A$38:$B$151,2,FALSE)</f>
        <v>Sept</v>
      </c>
      <c r="S73" s="191">
        <f>VLOOKUP(R73,'Lookup Tables'!$A$22:$B$33,2,FALSE)</f>
        <v>3</v>
      </c>
      <c r="T73" s="599">
        <f>VLOOKUP($E$4,'Lookup Tables'!$AB$63:$AN$75,MATCH(PersonCalcYr2!$S73,'Lookup Tables'!$AB$63:$AN$63),FALSE)</f>
        <v>0.5161</v>
      </c>
      <c r="U73" s="200">
        <f>VLOOKUP(S73,'Lookup Tables'!$A$3:$AA$16,MATCH(PersonCalcYr2!$P73,'Lookup Tables'!$A$3:$AA$3),FALSE)</f>
        <v>1.5161</v>
      </c>
      <c r="V73" s="496">
        <f>9-T73</f>
        <v>8.4839000000000002</v>
      </c>
      <c r="W73" s="201">
        <f>P73-U73</f>
        <v>10.4839</v>
      </c>
      <c r="X73" s="195">
        <f>IF(V73&lt;=W73,V73,W73)</f>
        <v>8.4839000000000002</v>
      </c>
      <c r="Y73" s="195">
        <f>IF(12-T73-U73-X73&gt;=0,1,0)</f>
        <v>1</v>
      </c>
      <c r="Z73" s="202">
        <f>((('Rate Tables'!D19*$E73)*PersonCalcYr2!$X73)*$F73)*Y73</f>
        <v>0</v>
      </c>
      <c r="AA73" s="197">
        <f>O73-(((U73*U77)+X73)*Y73)</f>
        <v>2</v>
      </c>
      <c r="AB73" s="197">
        <f>IF(AA73&lt;0,AA73*0,1)*AA73</f>
        <v>2</v>
      </c>
      <c r="AC73" s="601">
        <f>S73+(X73*Y73)+((U73*U77)*Y73)</f>
        <v>13</v>
      </c>
      <c r="AD73" s="199" t="str">
        <f>VLOOKUP(AC73,'Lookup Tables'!$A$38:$B$151,2,FALSE)</f>
        <v>July</v>
      </c>
      <c r="AE73" s="191">
        <f>VLOOKUP(AD73,'Lookup Tables'!$A$22:$B$33,2,FALSE)</f>
        <v>1</v>
      </c>
      <c r="AF73" s="200">
        <f>VLOOKUP(AE73,'Lookup Tables'!$A$3:$AA$16,MATCH(PersonCalcYr2!AB73,'Lookup Tables'!$A$3:$AA$3),FALSE)</f>
        <v>1.4839</v>
      </c>
      <c r="AG73" s="178">
        <v>9</v>
      </c>
      <c r="AH73" s="201">
        <f>AB73-AF73</f>
        <v>0.5161</v>
      </c>
      <c r="AI73" s="195">
        <f>IF(AG73&lt;=AH73,AG73,AH73)</f>
        <v>0.5161</v>
      </c>
      <c r="AJ73" s="195">
        <f>IF((AG73+AF73)&lt;=0,0,1)</f>
        <v>1</v>
      </c>
      <c r="AK73" s="204">
        <f>((('Rate Tables'!E19*$E73)*PersonCalcYr2!AI73)*$F73)*AJ73</f>
        <v>0</v>
      </c>
      <c r="AL73" s="197">
        <f>AB73-AF73-AI73</f>
        <v>0</v>
      </c>
      <c r="AM73" s="197">
        <f>IF(AL73&lt;0,AL73*0,1)*AL73</f>
        <v>0</v>
      </c>
      <c r="AN73" s="601">
        <f>AE73+(AI73*AJ73)+((AF73*AF77)*AJ73)</f>
        <v>3</v>
      </c>
      <c r="AO73" s="199" t="str">
        <f>VLOOKUP(AN73,'Lookup Tables'!$A$38:$B$151,2,FALSE)</f>
        <v>Sept</v>
      </c>
      <c r="AP73" s="191">
        <f>VLOOKUP(AO73,'Lookup Tables'!$A$22:$B$33,2,FALSE)</f>
        <v>3</v>
      </c>
      <c r="AQ73" s="200">
        <f>VLOOKUP(AP73,'Lookup Tables'!$A$3:$AA$16,MATCH(PersonCalcYr2!AM73,'Lookup Tables'!$A$3:$AA$3),FALSE)</f>
        <v>0</v>
      </c>
      <c r="AR73" s="178">
        <v>9</v>
      </c>
      <c r="AS73" s="201">
        <f>AM73-AQ73</f>
        <v>0</v>
      </c>
      <c r="AT73" s="195">
        <f>IF(AR73&lt;=AS73,AR73,AS73)</f>
        <v>0</v>
      </c>
      <c r="AU73" s="195">
        <f>IF((AR73+AQ73)&lt;=0,0,1)</f>
        <v>1</v>
      </c>
      <c r="AV73" s="204">
        <f>((('Rate Tables'!F19*$E73)*PersonCalcYr2!AT73)*$F73)*AU73</f>
        <v>0</v>
      </c>
      <c r="AW73" s="197">
        <f>AM73-AQ73-AT73</f>
        <v>0</v>
      </c>
      <c r="AX73" s="197"/>
      <c r="AY73" s="197"/>
      <c r="AZ73" s="178"/>
      <c r="BA73" s="227"/>
      <c r="BB73" s="349"/>
      <c r="BC73" s="227"/>
      <c r="BD73" s="275"/>
      <c r="BE73" s="12"/>
    </row>
    <row r="74" spans="1:57" ht="13.5" customHeight="1" x14ac:dyDescent="0.25">
      <c r="A74" s="296"/>
      <c r="B74" s="116"/>
      <c r="C74" s="117" t="s">
        <v>664</v>
      </c>
      <c r="D74" s="178"/>
      <c r="E74" s="153" t="s">
        <v>16</v>
      </c>
      <c r="F74" s="153" t="s">
        <v>42</v>
      </c>
      <c r="G74" s="153" t="s">
        <v>41</v>
      </c>
      <c r="H74" s="183" t="s">
        <v>77</v>
      </c>
      <c r="I74" s="184" t="s">
        <v>90</v>
      </c>
      <c r="J74" s="185" t="s">
        <v>70</v>
      </c>
      <c r="K74" s="186" t="s">
        <v>109</v>
      </c>
      <c r="L74" s="153" t="s">
        <v>53</v>
      </c>
      <c r="M74" s="153" t="s">
        <v>82</v>
      </c>
      <c r="N74" s="153" t="s">
        <v>32</v>
      </c>
      <c r="O74" s="153" t="s">
        <v>69</v>
      </c>
      <c r="P74" s="153" t="s">
        <v>72</v>
      </c>
      <c r="Q74" s="183" t="s">
        <v>80</v>
      </c>
      <c r="R74" s="187" t="s">
        <v>81</v>
      </c>
      <c r="S74" s="183" t="s">
        <v>77</v>
      </c>
      <c r="T74" s="598" t="s">
        <v>83</v>
      </c>
      <c r="U74" s="185" t="s">
        <v>70</v>
      </c>
      <c r="V74" s="153" t="s">
        <v>92</v>
      </c>
      <c r="W74" s="153" t="s">
        <v>44</v>
      </c>
      <c r="X74" s="153" t="s">
        <v>78</v>
      </c>
      <c r="Y74" s="153" t="s">
        <v>68</v>
      </c>
      <c r="Z74" s="153" t="s">
        <v>33</v>
      </c>
      <c r="AA74" s="153" t="s">
        <v>69</v>
      </c>
      <c r="AB74" s="153" t="s">
        <v>72</v>
      </c>
      <c r="AC74" s="153" t="s">
        <v>80</v>
      </c>
      <c r="AD74" s="187" t="s">
        <v>81</v>
      </c>
      <c r="AE74" s="183" t="s">
        <v>77</v>
      </c>
      <c r="AF74" s="185" t="s">
        <v>70</v>
      </c>
      <c r="AG74" s="153" t="s">
        <v>94</v>
      </c>
      <c r="AH74" s="153" t="s">
        <v>45</v>
      </c>
      <c r="AI74" s="153" t="s">
        <v>79</v>
      </c>
      <c r="AJ74" s="153" t="s">
        <v>68</v>
      </c>
      <c r="AK74" s="153" t="s">
        <v>34</v>
      </c>
      <c r="AL74" s="153" t="s">
        <v>69</v>
      </c>
      <c r="AM74" s="153" t="s">
        <v>72</v>
      </c>
      <c r="AN74" s="153" t="s">
        <v>80</v>
      </c>
      <c r="AO74" s="187" t="s">
        <v>81</v>
      </c>
      <c r="AP74" s="183" t="s">
        <v>77</v>
      </c>
      <c r="AQ74" s="185" t="s">
        <v>70</v>
      </c>
      <c r="AR74" s="153" t="s">
        <v>94</v>
      </c>
      <c r="AS74" s="153" t="s">
        <v>45</v>
      </c>
      <c r="AT74" s="153" t="s">
        <v>79</v>
      </c>
      <c r="AU74" s="153" t="s">
        <v>68</v>
      </c>
      <c r="AV74" s="153" t="s">
        <v>34</v>
      </c>
      <c r="AW74" s="153" t="s">
        <v>69</v>
      </c>
      <c r="AX74" s="197"/>
      <c r="AY74" s="197"/>
      <c r="AZ74" s="178"/>
      <c r="BA74" s="227"/>
      <c r="BB74" s="349"/>
      <c r="BC74" s="227"/>
      <c r="BD74" s="275"/>
      <c r="BE74" s="12"/>
    </row>
    <row r="75" spans="1:57" ht="13.5" customHeight="1" x14ac:dyDescent="0.25">
      <c r="A75" s="296"/>
      <c r="B75" s="116"/>
      <c r="C75" s="115"/>
      <c r="D75" s="178"/>
      <c r="E75" s="189">
        <f>BB69</f>
        <v>0</v>
      </c>
      <c r="F75" s="190">
        <f>IF($D$4=2024,1,0)</f>
        <v>0</v>
      </c>
      <c r="G75" s="178">
        <f>IF($B77="Yes",$C$5,$I77)</f>
        <v>12</v>
      </c>
      <c r="H75" s="191">
        <f>VLOOKUP(H76,'Lookup Tables'!$A$22:$B$33,2,FALSE)</f>
        <v>3</v>
      </c>
      <c r="I75" s="192">
        <f>VLOOKUP($E$4,'Lookup Tables'!$AB$46:$AN$58,MATCH($H75,'Lookup Tables'!$AB$46:$AN$46),FALSE)</f>
        <v>12</v>
      </c>
      <c r="J75" s="193">
        <f>VLOOKUP(H75,'Lookup Tables'!$A$3:$AA$16,MATCH(PersonCalcYr2!$G71,'Lookup Tables'!$A$3:$AA$3),FALSE)</f>
        <v>1.5161</v>
      </c>
      <c r="K75" s="194">
        <f>VLOOKUP($H76,'Lookup Tables'!$K$23:$L$34,2,FALSE)</f>
        <v>0</v>
      </c>
      <c r="L75" s="178">
        <f>IF(G75&lt;=K75,G75,K75)</f>
        <v>0</v>
      </c>
      <c r="M75" s="195">
        <f>IF(12-I75&gt;=1,1,0)</f>
        <v>0</v>
      </c>
      <c r="N75" s="196">
        <f>(('Rate Tables'!D19*PersonCalcYr2!E75)*PersonCalcYr2!L75)*PersonCalcYr2!F75*M75</f>
        <v>0</v>
      </c>
      <c r="O75" s="197">
        <f>G75-((J75+L75)*M75)</f>
        <v>12</v>
      </c>
      <c r="P75" s="197">
        <f>IF(O75&lt;0,O75*0,1)*O75</f>
        <v>12</v>
      </c>
      <c r="Q75" s="198">
        <f>H75+(L75*M75)+(J75*M75)</f>
        <v>3</v>
      </c>
      <c r="R75" s="199" t="str">
        <f>VLOOKUP(Q75,'Lookup Tables'!$A$38:$B$151,2,FALSE)</f>
        <v>Sept</v>
      </c>
      <c r="S75" s="191">
        <f>VLOOKUP(R75,'Lookup Tables'!$A$22:$B$33,2,FALSE)</f>
        <v>3</v>
      </c>
      <c r="T75" s="599">
        <f>VLOOKUP($E$4,'Lookup Tables'!$AB$63:$AN$75,MATCH(PersonCalcYr2!$S75,'Lookup Tables'!$AB$63:$AN$63),FALSE)</f>
        <v>0.5161</v>
      </c>
      <c r="U75" s="200">
        <f>VLOOKUP(S75,'Lookup Tables'!$A$3:$AA$16,MATCH(PersonCalcYr2!$P75,'Lookup Tables'!$A$3:$AA$3),FALSE)</f>
        <v>1.5161</v>
      </c>
      <c r="V75" s="496">
        <f>9-T75</f>
        <v>8.4839000000000002</v>
      </c>
      <c r="W75" s="201">
        <f>P75-U75</f>
        <v>10.4839</v>
      </c>
      <c r="X75" s="195">
        <f>IF(V75&lt;=W75,V75,W75)</f>
        <v>8.4839000000000002</v>
      </c>
      <c r="Y75" s="195">
        <f>IF(12-T75-U75-X75&gt;=0,1,0)</f>
        <v>1</v>
      </c>
      <c r="Z75" s="202">
        <f>((('Rate Tables'!E19*$E75)*PersonCalcYr2!$X75)*$F75)*Y75</f>
        <v>0</v>
      </c>
      <c r="AA75" s="197">
        <f>O75-(((U75*U77)+X75)*Y75)</f>
        <v>2</v>
      </c>
      <c r="AB75" s="197">
        <f>IF(AA75&lt;0,AA75*0,1)*AA75</f>
        <v>2</v>
      </c>
      <c r="AC75" s="601">
        <f>S75+(X75*Y75)+((U75*U77)*Y75)</f>
        <v>13</v>
      </c>
      <c r="AD75" s="199" t="str">
        <f>VLOOKUP(AC75,'Lookup Tables'!$A$38:$B$151,2,FALSE)</f>
        <v>July</v>
      </c>
      <c r="AE75" s="191">
        <f>VLOOKUP(AD75,'Lookup Tables'!$A$22:$B$33,2,FALSE)</f>
        <v>1</v>
      </c>
      <c r="AF75" s="200">
        <f>VLOOKUP(AE75,'Lookup Tables'!$A$3:$AA$16,MATCH(PersonCalcYr2!AB75,'Lookup Tables'!$A$3:$AA$3),FALSE)</f>
        <v>1.4839</v>
      </c>
      <c r="AG75" s="178">
        <v>9</v>
      </c>
      <c r="AH75" s="201">
        <f>AB75-AF75</f>
        <v>0.5161</v>
      </c>
      <c r="AI75" s="195">
        <f>IF(AG75&lt;=AH75,AG75,AH75)</f>
        <v>0.5161</v>
      </c>
      <c r="AJ75" s="195">
        <f>IF((AG75+AF75)&lt;=0,0,1)</f>
        <v>1</v>
      </c>
      <c r="AK75" s="204">
        <f>((('Rate Tables'!F19*$E75)*PersonCalcYr2!AI75)*$F75)*AJ75</f>
        <v>0</v>
      </c>
      <c r="AL75" s="197">
        <f>AB75-AF75-AI75</f>
        <v>0</v>
      </c>
      <c r="AM75" s="197">
        <f>IF(AL75&lt;0,AL75*0,1)*AL75</f>
        <v>0</v>
      </c>
      <c r="AN75" s="601">
        <f>AE75+(AI75*AJ75)+((AF75*AF77)*AJ75)</f>
        <v>3</v>
      </c>
      <c r="AO75" s="199" t="str">
        <f>VLOOKUP(AN75,'Lookup Tables'!$A$38:$B$151,2,FALSE)</f>
        <v>Sept</v>
      </c>
      <c r="AP75" s="191">
        <f>VLOOKUP(AO75,'Lookup Tables'!$A$22:$B$33,2,FALSE)</f>
        <v>3</v>
      </c>
      <c r="AQ75" s="200">
        <f>VLOOKUP(AP75,'Lookup Tables'!$A$3:$AA$16,MATCH(PersonCalcYr2!AM75,'Lookup Tables'!$A$3:$AA$3),FALSE)</f>
        <v>0</v>
      </c>
      <c r="AR75" s="178">
        <v>9</v>
      </c>
      <c r="AS75" s="201">
        <f>AM75-AQ75</f>
        <v>0</v>
      </c>
      <c r="AT75" s="195">
        <f>IF(AR75&lt;=AS75,AR75,AS75)</f>
        <v>0</v>
      </c>
      <c r="AU75" s="195">
        <f>IF((AR75+AQ75)&lt;=0,0,1)</f>
        <v>1</v>
      </c>
      <c r="AV75" s="204">
        <f>((('Rate Tables'!G21*$E75)*PersonCalcYr2!AT75)*$F75)*AU75</f>
        <v>0</v>
      </c>
      <c r="AW75" s="197">
        <f>AM75-AQ75-AT75</f>
        <v>0</v>
      </c>
      <c r="AX75" s="197"/>
      <c r="AY75" s="197"/>
      <c r="AZ75" s="178"/>
      <c r="BA75" s="227"/>
      <c r="BB75" s="349"/>
      <c r="BC75" s="227"/>
      <c r="BD75" s="275"/>
      <c r="BE75" s="12"/>
    </row>
    <row r="76" spans="1:57" ht="13.5" customHeight="1" x14ac:dyDescent="0.25">
      <c r="A76" s="296"/>
      <c r="B76" s="116"/>
      <c r="C76" s="115"/>
      <c r="D76" s="178"/>
      <c r="E76" s="205"/>
      <c r="F76" s="190"/>
      <c r="G76" s="178" t="s">
        <v>430</v>
      </c>
      <c r="H76" s="178" t="str">
        <f>IF(B77="yes",$C$4,A86)</f>
        <v>Sept</v>
      </c>
      <c r="I76" s="178"/>
      <c r="J76" s="178"/>
      <c r="K76" s="178"/>
      <c r="L76" s="178"/>
      <c r="M76" s="206"/>
      <c r="N76" s="207"/>
      <c r="O76" s="208"/>
      <c r="P76" s="190"/>
      <c r="Q76" s="190"/>
      <c r="R76" s="190"/>
      <c r="S76" s="190"/>
      <c r="T76" s="190"/>
      <c r="U76" s="178"/>
      <c r="V76" s="201"/>
      <c r="W76" s="201"/>
      <c r="X76" s="178"/>
      <c r="Y76" s="206"/>
      <c r="Z76" s="207"/>
      <c r="AA76" s="208"/>
      <c r="AB76" s="202"/>
      <c r="AC76" s="202"/>
      <c r="AD76" s="202"/>
      <c r="AE76" s="202"/>
      <c r="AF76" s="203"/>
      <c r="AG76" s="201"/>
      <c r="AH76" s="201"/>
      <c r="AI76" s="178"/>
      <c r="AJ76" s="206"/>
      <c r="AK76" s="207"/>
      <c r="AL76" s="208"/>
      <c r="AM76" s="202"/>
      <c r="AN76" s="202"/>
      <c r="AO76" s="202"/>
      <c r="AP76" s="202"/>
      <c r="AQ76" s="203"/>
      <c r="AR76" s="201"/>
      <c r="AS76" s="201"/>
      <c r="AT76" s="178"/>
      <c r="AU76" s="206"/>
      <c r="AV76" s="207"/>
      <c r="AW76" s="208"/>
      <c r="AX76" s="202"/>
      <c r="AY76" s="202"/>
      <c r="AZ76" s="178"/>
      <c r="BA76" s="307" t="s">
        <v>450</v>
      </c>
      <c r="BB76" s="349">
        <f>IF(B69=0,0,1)</f>
        <v>1</v>
      </c>
      <c r="BC76" s="227"/>
      <c r="BD76" s="275"/>
      <c r="BE76" s="12"/>
    </row>
    <row r="77" spans="1:57" ht="13.5" customHeight="1" x14ac:dyDescent="0.25">
      <c r="A77" s="37" t="s">
        <v>431</v>
      </c>
      <c r="B77" s="375" t="str">
        <f>Personnel!M27</f>
        <v>YES</v>
      </c>
      <c r="C77" s="115"/>
      <c r="D77" s="178"/>
      <c r="E77" s="205"/>
      <c r="F77" s="190"/>
      <c r="G77" s="491" t="s">
        <v>555</v>
      </c>
      <c r="H77" s="11">
        <f>IF(H78&lt;$C$5,H78,$C$5)</f>
        <v>12</v>
      </c>
      <c r="I77" s="178">
        <f>IF(B86&lt;=H78,B86,H78)</f>
        <v>0</v>
      </c>
      <c r="J77" s="178"/>
      <c r="K77" s="178"/>
      <c r="L77" s="178"/>
      <c r="M77" s="178"/>
      <c r="N77" s="178"/>
      <c r="O77" s="178"/>
      <c r="P77" s="190"/>
      <c r="Q77" s="190"/>
      <c r="R77" s="190"/>
      <c r="S77" s="190"/>
      <c r="T77" s="605" t="s">
        <v>573</v>
      </c>
      <c r="U77" s="606">
        <f>VLOOKUP($E$4,'Lookup Tables'!$L$79:$X$91,MATCH(PersonCalcYr2!$S71,'Lookup Tables'!$L$79:$X$79),FALSE)</f>
        <v>1</v>
      </c>
      <c r="V77" s="201"/>
      <c r="W77" s="201"/>
      <c r="X77" s="201"/>
      <c r="Y77" s="195"/>
      <c r="Z77" s="195"/>
      <c r="AA77" s="202"/>
      <c r="AB77" s="202"/>
      <c r="AC77" s="202"/>
      <c r="AD77" s="202"/>
      <c r="AE77" s="605" t="s">
        <v>573</v>
      </c>
      <c r="AF77" s="714">
        <v>1</v>
      </c>
      <c r="AG77" s="201"/>
      <c r="AH77" s="201"/>
      <c r="AI77" s="201"/>
      <c r="AJ77" s="201"/>
      <c r="AK77" s="202"/>
      <c r="AL77" s="202"/>
      <c r="AM77" s="202"/>
      <c r="AN77" s="202"/>
      <c r="AO77" s="202"/>
      <c r="AP77" s="202"/>
      <c r="AQ77" s="203"/>
      <c r="AR77" s="201"/>
      <c r="AS77" s="201"/>
      <c r="AT77" s="201"/>
      <c r="AU77" s="201"/>
      <c r="AV77" s="202"/>
      <c r="AW77" s="202"/>
      <c r="AX77" s="202"/>
      <c r="AY77" s="202"/>
      <c r="AZ77" s="178"/>
      <c r="BA77" s="370" t="s">
        <v>411</v>
      </c>
      <c r="BB77" s="460">
        <f>Personnel!O28</f>
        <v>0</v>
      </c>
      <c r="BC77" s="276" t="s">
        <v>117</v>
      </c>
      <c r="BD77" s="277">
        <f>(N80+W80+AJ80+AU80+N82+W82+AJ82+AU82+N84+W84+AJ84+AU84)*BB76</f>
        <v>0</v>
      </c>
      <c r="BE77" s="224"/>
    </row>
    <row r="78" spans="1:57" ht="13.5" customHeight="1" x14ac:dyDescent="0.25">
      <c r="A78" s="296" t="s">
        <v>439</v>
      </c>
      <c r="B78" s="114" t="s">
        <v>427</v>
      </c>
      <c r="C78" s="114"/>
      <c r="D78" s="178"/>
      <c r="E78" s="178"/>
      <c r="F78" s="178"/>
      <c r="G78" s="178"/>
      <c r="H78" s="175">
        <f>VLOOKUP($E$4,'Lookup Tables'!$L$46:$AA$58,MATCH($H$71,'Lookup Tables'!$L$46:$X$46),FALSE)</f>
        <v>12</v>
      </c>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227"/>
      <c r="BB78" s="12"/>
      <c r="BC78" s="278" t="s">
        <v>96</v>
      </c>
      <c r="BD78" s="279">
        <f>BD69+BD77</f>
        <v>0</v>
      </c>
      <c r="BE78" s="369"/>
    </row>
    <row r="79" spans="1:57" ht="13.5" customHeight="1" x14ac:dyDescent="0.25">
      <c r="A79" s="296"/>
      <c r="B79" s="116"/>
      <c r="C79" s="117" t="s">
        <v>30</v>
      </c>
      <c r="D79" s="178"/>
      <c r="E79" s="153" t="s">
        <v>84</v>
      </c>
      <c r="F79" s="153" t="s">
        <v>42</v>
      </c>
      <c r="G79" s="153" t="s">
        <v>41</v>
      </c>
      <c r="H79" s="183" t="s">
        <v>77</v>
      </c>
      <c r="I79" s="209" t="s">
        <v>101</v>
      </c>
      <c r="J79" s="210" t="s">
        <v>102</v>
      </c>
      <c r="K79" s="153" t="s">
        <v>98</v>
      </c>
      <c r="L79" s="153" t="s">
        <v>100</v>
      </c>
      <c r="M79" s="153" t="s">
        <v>82</v>
      </c>
      <c r="N79" s="153" t="s">
        <v>31</v>
      </c>
      <c r="O79" s="153" t="s">
        <v>69</v>
      </c>
      <c r="P79" s="153" t="s">
        <v>72</v>
      </c>
      <c r="Q79" s="153" t="s">
        <v>103</v>
      </c>
      <c r="R79" s="183" t="s">
        <v>77</v>
      </c>
      <c r="S79" s="209" t="s">
        <v>101</v>
      </c>
      <c r="T79" s="210" t="s">
        <v>102</v>
      </c>
      <c r="U79" s="178" t="s">
        <v>98</v>
      </c>
      <c r="V79" s="153" t="s">
        <v>100</v>
      </c>
      <c r="W79" s="153" t="s">
        <v>32</v>
      </c>
      <c r="X79" s="153" t="s">
        <v>69</v>
      </c>
      <c r="Y79" s="153"/>
      <c r="Z79" s="153"/>
      <c r="AA79" s="178"/>
      <c r="AB79" s="153" t="s">
        <v>72</v>
      </c>
      <c r="AC79" s="153" t="s">
        <v>103</v>
      </c>
      <c r="AD79" s="153"/>
      <c r="AE79" s="183" t="s">
        <v>77</v>
      </c>
      <c r="AF79" s="209" t="s">
        <v>101</v>
      </c>
      <c r="AG79" s="210" t="s">
        <v>102</v>
      </c>
      <c r="AH79" s="178" t="s">
        <v>98</v>
      </c>
      <c r="AI79" s="153" t="s">
        <v>100</v>
      </c>
      <c r="AJ79" s="153" t="s">
        <v>33</v>
      </c>
      <c r="AK79" s="153" t="s">
        <v>69</v>
      </c>
      <c r="AL79" s="178"/>
      <c r="AM79" s="153" t="s">
        <v>72</v>
      </c>
      <c r="AN79" s="153" t="s">
        <v>103</v>
      </c>
      <c r="AO79" s="153"/>
      <c r="AP79" s="183" t="s">
        <v>77</v>
      </c>
      <c r="AQ79" s="209" t="s">
        <v>101</v>
      </c>
      <c r="AR79" s="210" t="s">
        <v>102</v>
      </c>
      <c r="AS79" s="178" t="s">
        <v>98</v>
      </c>
      <c r="AT79" s="153" t="s">
        <v>100</v>
      </c>
      <c r="AU79" s="153" t="s">
        <v>33</v>
      </c>
      <c r="AV79" s="153" t="s">
        <v>69</v>
      </c>
      <c r="AW79" s="178"/>
      <c r="AX79" s="153"/>
      <c r="AY79" s="153"/>
      <c r="AZ79" s="178"/>
      <c r="BA79" s="276" t="s">
        <v>95</v>
      </c>
      <c r="BB79" s="12"/>
      <c r="BC79" s="227"/>
      <c r="BD79" s="275"/>
      <c r="BE79" s="12"/>
    </row>
    <row r="80" spans="1:57" ht="13.5" customHeight="1" x14ac:dyDescent="0.25">
      <c r="A80" s="296"/>
      <c r="B80" s="116"/>
      <c r="C80" s="115"/>
      <c r="D80" s="178"/>
      <c r="E80" s="211">
        <f>IF(H85&lt;=H86,H85,H86)</f>
        <v>0</v>
      </c>
      <c r="F80" s="190">
        <f>IF($D$4=2022,1,0)</f>
        <v>0</v>
      </c>
      <c r="G80" s="178">
        <f>IF($B77="Yes",$C$5,$I77)</f>
        <v>12</v>
      </c>
      <c r="H80" s="191">
        <f>H71</f>
        <v>3</v>
      </c>
      <c r="I80" s="212">
        <f>VLOOKUP(J71,'Lookup Tables'!$AB$22:$AC$31,2,FALSE)</f>
        <v>32</v>
      </c>
      <c r="J80" s="213">
        <f>VLOOKUP(U71,'Lookup Tables'!$AB$32:$AC$41,2,FALSE)</f>
        <v>33</v>
      </c>
      <c r="K80" s="203">
        <f>E80-J80</f>
        <v>-33</v>
      </c>
      <c r="L80" s="178">
        <f>IF(K80&gt;0,1,0)</f>
        <v>0</v>
      </c>
      <c r="M80" s="195">
        <f>M71</f>
        <v>0</v>
      </c>
      <c r="N80" s="196">
        <f>((((('Rate Tables'!B19*9)*0.02778)/5)*K80)*L80)*F80*M80</f>
        <v>0</v>
      </c>
      <c r="O80" s="197">
        <f>O71</f>
        <v>12</v>
      </c>
      <c r="P80" s="197">
        <f>IF(O80&lt;0,O80*0,1)*O80</f>
        <v>12</v>
      </c>
      <c r="Q80" s="203">
        <f>(E80-K80*F80*L80*M80)</f>
        <v>0</v>
      </c>
      <c r="R80" s="191">
        <f>S71</f>
        <v>3</v>
      </c>
      <c r="S80" s="212">
        <f>VLOOKUP(U71,'Lookup Tables'!$AB$22:$AC$31,2,FALSE)</f>
        <v>32</v>
      </c>
      <c r="T80" s="213">
        <f>VLOOKUP(AF71,'Lookup Tables'!$AB$32:$AC$41,2,FALSE)</f>
        <v>33</v>
      </c>
      <c r="U80" s="206">
        <f>Q80-T80</f>
        <v>-33</v>
      </c>
      <c r="V80" s="178">
        <f>IF(U80&gt;0,1,0)</f>
        <v>0</v>
      </c>
      <c r="W80" s="196">
        <f>((('Rate Tables'!C19*9)*0.02778)/5)*U80*F80*V80</f>
        <v>0</v>
      </c>
      <c r="X80" s="197">
        <f>AA71</f>
        <v>2</v>
      </c>
      <c r="Y80" s="178"/>
      <c r="Z80" s="195"/>
      <c r="AA80" s="178"/>
      <c r="AB80" s="197">
        <f>IF(X80&lt;0,X80*0,1)*X80</f>
        <v>2</v>
      </c>
      <c r="AC80" s="203">
        <f>Q80-(U80*V80)</f>
        <v>0</v>
      </c>
      <c r="AD80" s="178"/>
      <c r="AE80" s="191">
        <f>AE71</f>
        <v>1</v>
      </c>
      <c r="AF80" s="212">
        <f>VLOOKUP(AF71,'Lookup Tables'!$AB$22:$AC$31,2,FALSE)</f>
        <v>32</v>
      </c>
      <c r="AG80" s="213">
        <f>VLOOKUP(AQ71,'Lookup Tables'!$AB$32:$AC$41,2,FALSE)</f>
        <v>0</v>
      </c>
      <c r="AH80" s="208">
        <f>AC80-AG80</f>
        <v>0</v>
      </c>
      <c r="AI80" s="178">
        <f>IF(AH80&gt;0,1,0)</f>
        <v>0</v>
      </c>
      <c r="AJ80" s="196">
        <f>((('Rate Tables'!D19*9)*0.02778)/5)*AH80*AI80*F80</f>
        <v>0</v>
      </c>
      <c r="AK80" s="197">
        <f>AL71</f>
        <v>0</v>
      </c>
      <c r="AL80" s="178"/>
      <c r="AM80" s="197">
        <f>IF(AK80&lt;0,AK80*0,1)*AK80</f>
        <v>0</v>
      </c>
      <c r="AN80" s="203">
        <f>AC80-(AH80*AI80)</f>
        <v>0</v>
      </c>
      <c r="AO80" s="178"/>
      <c r="AP80" s="191">
        <f>AP71</f>
        <v>3</v>
      </c>
      <c r="AQ80" s="212">
        <f>VLOOKUP(AQ71,'Lookup Tables'!$AB$22:$AC$31,2,FALSE)</f>
        <v>0</v>
      </c>
      <c r="AR80" s="213">
        <v>0</v>
      </c>
      <c r="AS80" s="208">
        <f>AN80-AR80</f>
        <v>0</v>
      </c>
      <c r="AT80" s="178">
        <f>IF(AS80&gt;0,1,0)</f>
        <v>0</v>
      </c>
      <c r="AU80" s="196">
        <f>((('Rate Tables'!E19*9)*0.02778)/5)*AS80*AT80*F80</f>
        <v>0</v>
      </c>
      <c r="AV80" s="197">
        <f>AW71</f>
        <v>0</v>
      </c>
      <c r="AW80" s="178"/>
      <c r="AX80" s="197"/>
      <c r="AY80" s="197"/>
      <c r="AZ80" s="178"/>
      <c r="BA80" s="716">
        <f>BB77</f>
        <v>0</v>
      </c>
      <c r="BB80" s="225"/>
      <c r="BC80" s="227"/>
      <c r="BD80" s="275"/>
      <c r="BE80" s="12" t="s">
        <v>418</v>
      </c>
    </row>
    <row r="81" spans="1:57" ht="13.5" customHeight="1" x14ac:dyDescent="0.25">
      <c r="A81" s="296"/>
      <c r="B81" s="116"/>
      <c r="C81" s="117" t="s">
        <v>597</v>
      </c>
      <c r="D81" s="178"/>
      <c r="E81" s="153" t="s">
        <v>84</v>
      </c>
      <c r="F81" s="153" t="s">
        <v>42</v>
      </c>
      <c r="G81" s="153" t="s">
        <v>41</v>
      </c>
      <c r="H81" s="183" t="s">
        <v>77</v>
      </c>
      <c r="I81" s="209" t="s">
        <v>105</v>
      </c>
      <c r="J81" s="210" t="s">
        <v>106</v>
      </c>
      <c r="K81" s="153" t="s">
        <v>99</v>
      </c>
      <c r="L81" s="153" t="s">
        <v>100</v>
      </c>
      <c r="M81" s="153" t="s">
        <v>82</v>
      </c>
      <c r="N81" s="153" t="s">
        <v>32</v>
      </c>
      <c r="O81" s="153" t="s">
        <v>69</v>
      </c>
      <c r="P81" s="153" t="s">
        <v>72</v>
      </c>
      <c r="Q81" s="153" t="s">
        <v>103</v>
      </c>
      <c r="R81" s="183" t="s">
        <v>77</v>
      </c>
      <c r="S81" s="209" t="s">
        <v>105</v>
      </c>
      <c r="T81" s="210" t="s">
        <v>106</v>
      </c>
      <c r="U81" s="178" t="s">
        <v>98</v>
      </c>
      <c r="V81" s="153" t="s">
        <v>100</v>
      </c>
      <c r="W81" s="153" t="s">
        <v>33</v>
      </c>
      <c r="X81" s="153" t="s">
        <v>69</v>
      </c>
      <c r="Y81" s="153"/>
      <c r="Z81" s="153"/>
      <c r="AA81" s="178"/>
      <c r="AB81" s="153" t="s">
        <v>72</v>
      </c>
      <c r="AC81" s="153" t="s">
        <v>104</v>
      </c>
      <c r="AD81" s="153"/>
      <c r="AE81" s="183" t="s">
        <v>77</v>
      </c>
      <c r="AF81" s="209" t="s">
        <v>105</v>
      </c>
      <c r="AG81" s="210" t="s">
        <v>106</v>
      </c>
      <c r="AH81" s="178" t="s">
        <v>98</v>
      </c>
      <c r="AI81" s="153" t="s">
        <v>100</v>
      </c>
      <c r="AJ81" s="153" t="s">
        <v>34</v>
      </c>
      <c r="AK81" s="153" t="s">
        <v>69</v>
      </c>
      <c r="AL81" s="178"/>
      <c r="AM81" s="153" t="s">
        <v>72</v>
      </c>
      <c r="AN81" s="153" t="s">
        <v>104</v>
      </c>
      <c r="AO81" s="153"/>
      <c r="AP81" s="183" t="s">
        <v>77</v>
      </c>
      <c r="AQ81" s="209" t="s">
        <v>105</v>
      </c>
      <c r="AR81" s="210" t="s">
        <v>106</v>
      </c>
      <c r="AS81" s="178" t="s">
        <v>98</v>
      </c>
      <c r="AT81" s="153" t="s">
        <v>100</v>
      </c>
      <c r="AU81" s="153" t="s">
        <v>34</v>
      </c>
      <c r="AV81" s="153" t="s">
        <v>69</v>
      </c>
      <c r="AW81" s="178"/>
      <c r="AX81" s="178"/>
      <c r="AY81" s="178"/>
      <c r="AZ81" s="178"/>
      <c r="BA81" s="227"/>
      <c r="BB81" s="224"/>
      <c r="BC81" s="227" t="s">
        <v>451</v>
      </c>
      <c r="BD81" s="275">
        <f>(VLOOKUP($B69,'Rate Tables'!$O$2:$P$8,2,FALSE))</f>
        <v>0.2697</v>
      </c>
      <c r="BE81" s="372">
        <f>VLOOKUP('F&amp;ARatesCalc'!$B$1,'F&amp;ARatesCalc'!$A$3:$B$5,2,FALSE)</f>
        <v>0.56999999999999995</v>
      </c>
    </row>
    <row r="82" spans="1:57" ht="13.5" customHeight="1" x14ac:dyDescent="0.25">
      <c r="A82" s="296"/>
      <c r="B82" s="116"/>
      <c r="C82" s="115"/>
      <c r="D82" s="178"/>
      <c r="E82" s="211">
        <f>E80</f>
        <v>0</v>
      </c>
      <c r="F82" s="190">
        <f>IF($D$4=2024,1,0)</f>
        <v>0</v>
      </c>
      <c r="G82" s="178">
        <f>IF($B77="Yes",$C$5,$I77)</f>
        <v>12</v>
      </c>
      <c r="H82" s="191">
        <f>H73</f>
        <v>3</v>
      </c>
      <c r="I82" s="212">
        <f>VLOOKUP(J73,'Lookup Tables'!$AB$22:$AC$31,2,FALSE)</f>
        <v>32</v>
      </c>
      <c r="J82" s="213">
        <f>VLOOKUP(U73,'Lookup Tables'!$AB$32:$AC$41,2,FALSE)</f>
        <v>33</v>
      </c>
      <c r="K82" s="203">
        <f>E82-J82</f>
        <v>-33</v>
      </c>
      <c r="L82" s="178">
        <f>IF(K82&gt;0,1,0)</f>
        <v>0</v>
      </c>
      <c r="M82" s="195">
        <f>M73</f>
        <v>0</v>
      </c>
      <c r="N82" s="196">
        <f>((((('Rate Tables'!C19*9)*0.02778)/5)*K82)*L82)*F82*M82</f>
        <v>0</v>
      </c>
      <c r="O82" s="197">
        <f>O73</f>
        <v>12</v>
      </c>
      <c r="P82" s="197">
        <f>IF(O82&lt;0,O82*0,1)*O82</f>
        <v>12</v>
      </c>
      <c r="Q82" s="203">
        <f>(E82-K82*F82*L82*M82)</f>
        <v>0</v>
      </c>
      <c r="R82" s="191">
        <f>S73</f>
        <v>3</v>
      </c>
      <c r="S82" s="212">
        <f>VLOOKUP(U73,'Lookup Tables'!$AB$22:$AC$31,2,FALSE)</f>
        <v>32</v>
      </c>
      <c r="T82" s="213">
        <f>VLOOKUP(AF73,'Lookup Tables'!$AB$32:$AC$41,2,FALSE)</f>
        <v>33</v>
      </c>
      <c r="U82" s="206">
        <f>Q82-T82</f>
        <v>-33</v>
      </c>
      <c r="V82" s="178">
        <f>IF(U82&gt;0,1,0)</f>
        <v>0</v>
      </c>
      <c r="W82" s="196">
        <f>((('Rate Tables'!D19*9)*0.02778)/5)*U82*F82*V82</f>
        <v>0</v>
      </c>
      <c r="X82" s="197">
        <f>AA73</f>
        <v>2</v>
      </c>
      <c r="Y82" s="178"/>
      <c r="Z82" s="195"/>
      <c r="AA82" s="178"/>
      <c r="AB82" s="197">
        <f>IF(X82&lt;0,X82*0,1)*X82</f>
        <v>2</v>
      </c>
      <c r="AC82" s="203">
        <f>Q82-(U82*V82)</f>
        <v>0</v>
      </c>
      <c r="AD82" s="178"/>
      <c r="AE82" s="191">
        <f>AE73</f>
        <v>1</v>
      </c>
      <c r="AF82" s="212">
        <f>VLOOKUP(AF73,'Lookup Tables'!$AB$22:$AC$31,2,FALSE)</f>
        <v>32</v>
      </c>
      <c r="AG82" s="213">
        <f>VLOOKUP(AQ73,'Lookup Tables'!$AB$32:$AC$41,2,FALSE)</f>
        <v>0</v>
      </c>
      <c r="AH82" s="208">
        <f>AC82-AG82</f>
        <v>0</v>
      </c>
      <c r="AI82" s="178">
        <f>IF(AH82&gt;0,1,0)</f>
        <v>0</v>
      </c>
      <c r="AJ82" s="196">
        <f>((('Rate Tables'!E19*9)*0.02778)/5)*AH82*AI82*F82</f>
        <v>0</v>
      </c>
      <c r="AK82" s="197">
        <f>AL73</f>
        <v>0</v>
      </c>
      <c r="AL82" s="178"/>
      <c r="AM82" s="197">
        <f>IF(AK82&lt;0,AK82*0,1)*AK82</f>
        <v>0</v>
      </c>
      <c r="AN82" s="203">
        <f>AC82-(AH82*AI82)</f>
        <v>0</v>
      </c>
      <c r="AO82" s="178"/>
      <c r="AP82" s="191">
        <f>AP73</f>
        <v>3</v>
      </c>
      <c r="AQ82" s="212">
        <f>VLOOKUP(AQ73,'Lookup Tables'!$AB$22:$AC$31,2,FALSE)</f>
        <v>0</v>
      </c>
      <c r="AR82" s="213">
        <v>0</v>
      </c>
      <c r="AS82" s="208">
        <f>AN82-AR82</f>
        <v>0</v>
      </c>
      <c r="AT82" s="178">
        <f>IF(AS82&gt;0,1,0)</f>
        <v>0</v>
      </c>
      <c r="AU82" s="196">
        <f>((('Rate Tables'!F19*9)*0.02778)/5)*AS82*AT82*F82</f>
        <v>0</v>
      </c>
      <c r="AV82" s="197">
        <f>AW73</f>
        <v>0</v>
      </c>
      <c r="AW82" s="178"/>
      <c r="AX82" s="178"/>
      <c r="AY82" s="178"/>
      <c r="AZ82" s="178"/>
      <c r="BA82" s="227"/>
      <c r="BB82" s="12"/>
      <c r="BC82" s="227" t="s">
        <v>452</v>
      </c>
      <c r="BD82" s="275">
        <f>_xlfn.IFNA(BD81,0)</f>
        <v>0.2697</v>
      </c>
      <c r="BE82" s="12" t="s">
        <v>417</v>
      </c>
    </row>
    <row r="83" spans="1:57" ht="13.5" customHeight="1" x14ac:dyDescent="0.25">
      <c r="A83" s="296"/>
      <c r="B83" s="116"/>
      <c r="C83" s="117" t="s">
        <v>664</v>
      </c>
      <c r="D83" s="178"/>
      <c r="E83" s="153" t="s">
        <v>84</v>
      </c>
      <c r="F83" s="153" t="s">
        <v>42</v>
      </c>
      <c r="G83" s="153" t="s">
        <v>41</v>
      </c>
      <c r="H83" s="183" t="s">
        <v>77</v>
      </c>
      <c r="I83" s="209" t="s">
        <v>105</v>
      </c>
      <c r="J83" s="210" t="s">
        <v>106</v>
      </c>
      <c r="K83" s="153" t="s">
        <v>99</v>
      </c>
      <c r="L83" s="153" t="s">
        <v>100</v>
      </c>
      <c r="M83" s="153" t="s">
        <v>82</v>
      </c>
      <c r="N83" s="153" t="s">
        <v>32</v>
      </c>
      <c r="O83" s="153" t="s">
        <v>69</v>
      </c>
      <c r="P83" s="153" t="s">
        <v>72</v>
      </c>
      <c r="Q83" s="153" t="s">
        <v>103</v>
      </c>
      <c r="R83" s="183" t="s">
        <v>77</v>
      </c>
      <c r="S83" s="209" t="s">
        <v>105</v>
      </c>
      <c r="T83" s="210" t="s">
        <v>106</v>
      </c>
      <c r="U83" s="178" t="s">
        <v>98</v>
      </c>
      <c r="V83" s="153" t="s">
        <v>100</v>
      </c>
      <c r="W83" s="153" t="s">
        <v>33</v>
      </c>
      <c r="X83" s="153" t="s">
        <v>69</v>
      </c>
      <c r="Y83" s="153"/>
      <c r="Z83" s="153"/>
      <c r="AA83" s="178"/>
      <c r="AB83" s="153" t="s">
        <v>72</v>
      </c>
      <c r="AC83" s="153" t="s">
        <v>104</v>
      </c>
      <c r="AD83" s="153"/>
      <c r="AE83" s="183" t="s">
        <v>77</v>
      </c>
      <c r="AF83" s="209" t="s">
        <v>105</v>
      </c>
      <c r="AG83" s="210" t="s">
        <v>106</v>
      </c>
      <c r="AH83" s="178" t="s">
        <v>98</v>
      </c>
      <c r="AI83" s="153" t="s">
        <v>100</v>
      </c>
      <c r="AJ83" s="153" t="s">
        <v>34</v>
      </c>
      <c r="AK83" s="153" t="s">
        <v>69</v>
      </c>
      <c r="AL83" s="178"/>
      <c r="AM83" s="153" t="s">
        <v>72</v>
      </c>
      <c r="AN83" s="153" t="s">
        <v>104</v>
      </c>
      <c r="AO83" s="153"/>
      <c r="AP83" s="183" t="s">
        <v>77</v>
      </c>
      <c r="AQ83" s="209" t="s">
        <v>105</v>
      </c>
      <c r="AR83" s="210" t="s">
        <v>106</v>
      </c>
      <c r="AS83" s="178" t="s">
        <v>98</v>
      </c>
      <c r="AT83" s="153" t="s">
        <v>100</v>
      </c>
      <c r="AU83" s="153" t="s">
        <v>34</v>
      </c>
      <c r="AV83" s="153" t="s">
        <v>69</v>
      </c>
      <c r="AW83" s="178"/>
      <c r="AX83" s="178"/>
      <c r="AY83" s="178"/>
      <c r="AZ83" s="178"/>
      <c r="BA83" s="227"/>
      <c r="BB83" s="12"/>
      <c r="BC83" s="227"/>
      <c r="BD83" s="275"/>
      <c r="BE83" s="12"/>
    </row>
    <row r="84" spans="1:57" ht="13.5" customHeight="1" x14ac:dyDescent="0.25">
      <c r="A84" s="296"/>
      <c r="B84" s="116"/>
      <c r="C84" s="115"/>
      <c r="D84" s="178"/>
      <c r="E84" s="211">
        <f>E82</f>
        <v>0</v>
      </c>
      <c r="F84" s="190">
        <f>IF($D$4=2024,1,0)</f>
        <v>0</v>
      </c>
      <c r="G84" s="178">
        <f>IF($B77="Yes",$C$5,$I77)</f>
        <v>12</v>
      </c>
      <c r="H84" s="191">
        <f>H75</f>
        <v>3</v>
      </c>
      <c r="I84" s="212">
        <f>VLOOKUP(J75,'Lookup Tables'!$AB$22:$AC$31,2,FALSE)</f>
        <v>32</v>
      </c>
      <c r="J84" s="213">
        <f>VLOOKUP(U75,'Lookup Tables'!$AB$32:$AC$41,2,FALSE)</f>
        <v>33</v>
      </c>
      <c r="K84" s="203">
        <f>E84-J84</f>
        <v>-33</v>
      </c>
      <c r="L84" s="178">
        <f>IF(K84&gt;0,1,0)</f>
        <v>0</v>
      </c>
      <c r="M84" s="195">
        <f>M75</f>
        <v>0</v>
      </c>
      <c r="N84" s="196">
        <f>((((('Rate Tables'!D19*9)*0.02778)/5)*K84)*L84)*F84*M84</f>
        <v>0</v>
      </c>
      <c r="O84" s="197">
        <f>O75</f>
        <v>12</v>
      </c>
      <c r="P84" s="197">
        <f>IF(O84&lt;0,O84*0,1)*O84</f>
        <v>12</v>
      </c>
      <c r="Q84" s="203">
        <f>(E84-K84*F84*L84*M84)</f>
        <v>0</v>
      </c>
      <c r="R84" s="191">
        <f>S75</f>
        <v>3</v>
      </c>
      <c r="S84" s="212">
        <f>VLOOKUP(U75,'Lookup Tables'!$AB$22:$AC$31,2,FALSE)</f>
        <v>32</v>
      </c>
      <c r="T84" s="213">
        <f>VLOOKUP(AF75,'Lookup Tables'!$AB$32:$AC$41,2,FALSE)</f>
        <v>33</v>
      </c>
      <c r="U84" s="206">
        <f>Q84-T84</f>
        <v>-33</v>
      </c>
      <c r="V84" s="178">
        <f>IF(U84&gt;0,1,0)</f>
        <v>0</v>
      </c>
      <c r="W84" s="196">
        <f>((('Rate Tables'!E19*9)*0.02778)/5)*U84*F84*V84</f>
        <v>0</v>
      </c>
      <c r="X84" s="197">
        <f>AA75</f>
        <v>2</v>
      </c>
      <c r="Y84" s="178"/>
      <c r="Z84" s="195"/>
      <c r="AA84" s="178"/>
      <c r="AB84" s="197">
        <f>IF(X84&lt;0,X84*0,1)*X84</f>
        <v>2</v>
      </c>
      <c r="AC84" s="203">
        <f>Q84-(U84*V84)</f>
        <v>0</v>
      </c>
      <c r="AD84" s="178"/>
      <c r="AE84" s="191">
        <f>AE75</f>
        <v>1</v>
      </c>
      <c r="AF84" s="212">
        <f>VLOOKUP(AF75,'Lookup Tables'!$AB$22:$AC$31,2,FALSE)</f>
        <v>32</v>
      </c>
      <c r="AG84" s="213">
        <f>VLOOKUP(AQ75,'Lookup Tables'!$AB$32:$AC$41,2,FALSE)</f>
        <v>0</v>
      </c>
      <c r="AH84" s="208">
        <f>AC84-AG84</f>
        <v>0</v>
      </c>
      <c r="AI84" s="178">
        <f>IF(AH84&gt;0,1,0)</f>
        <v>0</v>
      </c>
      <c r="AJ84" s="196">
        <f>((('Rate Tables'!F19*9)*0.02778)/5)*AH84*AI84*F84</f>
        <v>0</v>
      </c>
      <c r="AK84" s="197">
        <f>AL75</f>
        <v>0</v>
      </c>
      <c r="AL84" s="178"/>
      <c r="AM84" s="197">
        <f>IF(AK84&lt;0,AK84*0,1)*AK84</f>
        <v>0</v>
      </c>
      <c r="AN84" s="203">
        <f>AC84-(AH84*AI84)</f>
        <v>0</v>
      </c>
      <c r="AO84" s="178"/>
      <c r="AP84" s="191">
        <f>AP75</f>
        <v>3</v>
      </c>
      <c r="AQ84" s="212">
        <f>VLOOKUP(AQ75,'Lookup Tables'!$AB$22:$AC$31,2,FALSE)</f>
        <v>0</v>
      </c>
      <c r="AR84" s="213">
        <v>0</v>
      </c>
      <c r="AS84" s="208">
        <f>AN84-AR84</f>
        <v>0</v>
      </c>
      <c r="AT84" s="178">
        <f>IF(AS84&gt;0,1,0)</f>
        <v>0</v>
      </c>
      <c r="AU84" s="196">
        <f>((('Rate Tables'!G19*9)*0.02778)/5)*AS84*AT84*F84</f>
        <v>0</v>
      </c>
      <c r="AV84" s="197">
        <f>AW75</f>
        <v>0</v>
      </c>
      <c r="AW84" s="178"/>
      <c r="AX84" s="178"/>
      <c r="AY84" s="178"/>
      <c r="AZ84" s="178"/>
      <c r="BA84" s="227"/>
      <c r="BB84" s="12"/>
      <c r="BC84" s="227"/>
      <c r="BD84" s="275"/>
      <c r="BE84" s="12"/>
    </row>
    <row r="85" spans="1:57" ht="13.5" customHeight="1" thickBot="1" x14ac:dyDescent="0.3">
      <c r="A85" s="296"/>
      <c r="B85" s="116"/>
      <c r="C85" s="114"/>
      <c r="D85" s="178"/>
      <c r="E85" s="178"/>
      <c r="F85" s="178"/>
      <c r="G85" s="491" t="s">
        <v>559</v>
      </c>
      <c r="H85" s="206">
        <f>BA80</f>
        <v>0</v>
      </c>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307"/>
      <c r="BB85" s="12"/>
      <c r="BC85" s="227" t="s">
        <v>453</v>
      </c>
      <c r="BD85" s="275">
        <f>IF(BD82=0,0,BD81)</f>
        <v>0.2697</v>
      </c>
      <c r="BE85" s="12">
        <f>(BD78+BD86)*BE81</f>
        <v>0</v>
      </c>
    </row>
    <row r="86" spans="1:57" ht="13.5" customHeight="1" thickBot="1" x14ac:dyDescent="0.3">
      <c r="A86" s="380">
        <f>Personnel!M28</f>
        <v>0</v>
      </c>
      <c r="B86" s="273">
        <f>Personnel!M29</f>
        <v>0</v>
      </c>
      <c r="C86" s="114"/>
      <c r="D86" s="178"/>
      <c r="E86" s="178"/>
      <c r="F86" s="178"/>
      <c r="G86" s="491" t="s">
        <v>560</v>
      </c>
      <c r="H86" s="178">
        <f>VLOOKUP(H80,'Lookup Tables'!$L$62:$Y$74,MATCH(G80,'Lookup Tables'!$L$62:$Y$62,FALSE))</f>
        <v>65</v>
      </c>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309"/>
      <c r="BB86" s="274"/>
      <c r="BC86" s="278" t="s">
        <v>415</v>
      </c>
      <c r="BD86" s="279">
        <f>BD78*BD85</f>
        <v>0</v>
      </c>
      <c r="BE86" s="373">
        <f>BD78+BD86+BE85</f>
        <v>0</v>
      </c>
    </row>
    <row r="87" spans="1:57" ht="6" customHeight="1" thickBot="1" x14ac:dyDescent="0.3">
      <c r="A87" s="297"/>
      <c r="B87" s="295"/>
      <c r="C87" s="291"/>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80"/>
      <c r="BB87" s="149"/>
      <c r="BC87" s="280"/>
      <c r="BD87" s="281"/>
      <c r="BE87" s="374"/>
    </row>
    <row r="88" spans="1:57" ht="13.5" customHeight="1" x14ac:dyDescent="0.25">
      <c r="A88" s="296" t="s">
        <v>174</v>
      </c>
      <c r="B88" s="162" t="s">
        <v>339</v>
      </c>
      <c r="C88" s="259" t="s">
        <v>605</v>
      </c>
      <c r="D88" s="178"/>
      <c r="E88" s="178"/>
      <c r="F88" s="178"/>
      <c r="G88" s="178"/>
      <c r="H88" s="178"/>
      <c r="I88" s="178"/>
      <c r="J88" s="178"/>
      <c r="K88" s="178"/>
      <c r="L88" s="178"/>
      <c r="M88" s="178"/>
      <c r="N88" s="178"/>
      <c r="O88" s="178">
        <v>21</v>
      </c>
      <c r="P88" s="178"/>
      <c r="Q88" s="178"/>
      <c r="R88" s="178"/>
      <c r="S88" s="178"/>
      <c r="T88" s="178"/>
      <c r="U88" s="178"/>
      <c r="V88" s="178"/>
      <c r="W88" s="178"/>
      <c r="X88" s="178"/>
      <c r="Y88" s="178"/>
      <c r="Z88" s="493">
        <v>44378</v>
      </c>
      <c r="AA88" s="493">
        <v>44742</v>
      </c>
      <c r="AB88" s="178"/>
      <c r="AC88" s="178"/>
      <c r="AD88" s="178"/>
      <c r="AE88" s="178"/>
      <c r="AF88" s="178"/>
      <c r="AG88" s="178"/>
      <c r="AH88" s="178"/>
      <c r="AI88" s="178"/>
      <c r="AJ88" s="178"/>
      <c r="AK88" s="178"/>
      <c r="AL88" s="178">
        <v>23</v>
      </c>
      <c r="AM88" s="178"/>
      <c r="AN88" s="178"/>
      <c r="AO88" s="178"/>
      <c r="AP88" s="178"/>
      <c r="AQ88" s="178"/>
      <c r="AR88" s="178"/>
      <c r="AS88" s="178"/>
      <c r="AT88" s="178"/>
      <c r="AU88" s="178"/>
      <c r="AV88" s="178"/>
      <c r="AW88" s="178">
        <v>23</v>
      </c>
      <c r="AX88" s="178"/>
      <c r="AY88" s="178"/>
      <c r="AZ88" s="178"/>
      <c r="BA88" s="227"/>
      <c r="BB88" s="12"/>
      <c r="BC88" s="227"/>
      <c r="BD88" s="275"/>
      <c r="BE88" s="12"/>
    </row>
    <row r="89" spans="1:57" ht="13.5" customHeight="1" x14ac:dyDescent="0.25">
      <c r="A89" s="345">
        <f>Personnel!C34</f>
        <v>0</v>
      </c>
      <c r="B89" s="346" t="str">
        <f>Personnel!C33</f>
        <v>Faculty</v>
      </c>
      <c r="C89" s="347">
        <f>Personnel!C35</f>
        <v>0</v>
      </c>
      <c r="D89" s="178"/>
      <c r="E89" s="178"/>
      <c r="F89" s="178"/>
      <c r="G89" s="178"/>
      <c r="H89" s="178"/>
      <c r="I89" s="178"/>
      <c r="J89" s="178"/>
      <c r="K89" s="178"/>
      <c r="L89" s="178"/>
      <c r="M89" s="178"/>
      <c r="N89" s="178"/>
      <c r="O89" s="178">
        <v>22</v>
      </c>
      <c r="P89" s="178"/>
      <c r="Q89" s="178"/>
      <c r="R89" s="178"/>
      <c r="S89" s="178"/>
      <c r="T89" s="178"/>
      <c r="U89" s="178"/>
      <c r="V89" s="178"/>
      <c r="W89" s="178"/>
      <c r="X89" s="178"/>
      <c r="Y89" s="178"/>
      <c r="Z89" s="178"/>
      <c r="AA89" s="178">
        <v>23</v>
      </c>
      <c r="AB89" s="178"/>
      <c r="AC89" s="178"/>
      <c r="AD89" s="178"/>
      <c r="AE89" s="178"/>
      <c r="AF89" s="178"/>
      <c r="AG89" s="178"/>
      <c r="AH89" s="178"/>
      <c r="AI89" s="178"/>
      <c r="AJ89" s="178"/>
      <c r="AK89" s="178"/>
      <c r="AL89" s="178">
        <v>24</v>
      </c>
      <c r="AM89" s="178"/>
      <c r="AN89" s="178"/>
      <c r="AO89" s="178"/>
      <c r="AP89" s="178"/>
      <c r="AQ89" s="178"/>
      <c r="AR89" s="178"/>
      <c r="AS89" s="178"/>
      <c r="AT89" s="178"/>
      <c r="AU89" s="178"/>
      <c r="AV89" s="178"/>
      <c r="AW89" s="178">
        <v>24</v>
      </c>
      <c r="AX89" s="178"/>
      <c r="AY89" s="178"/>
      <c r="AZ89" s="178"/>
      <c r="BA89" s="306" t="s">
        <v>412</v>
      </c>
      <c r="BB89" s="348">
        <f>Personnel!O33</f>
        <v>0</v>
      </c>
      <c r="BC89" s="276" t="s">
        <v>414</v>
      </c>
      <c r="BD89" s="277">
        <f>(N91+N93+N95+Z91+Z93+Z95+AK91+AK93+AK95+AV91+AV93+AV95)*BB96</f>
        <v>0</v>
      </c>
      <c r="BE89" s="224"/>
    </row>
    <row r="90" spans="1:57" ht="13.5" customHeight="1" x14ac:dyDescent="0.25">
      <c r="A90" s="296"/>
      <c r="B90" s="116"/>
      <c r="C90" s="117" t="s">
        <v>30</v>
      </c>
      <c r="D90" s="178"/>
      <c r="E90" s="153" t="s">
        <v>16</v>
      </c>
      <c r="F90" s="153" t="s">
        <v>42</v>
      </c>
      <c r="G90" s="153" t="s">
        <v>41</v>
      </c>
      <c r="H90" s="183" t="s">
        <v>77</v>
      </c>
      <c r="I90" s="184" t="s">
        <v>90</v>
      </c>
      <c r="J90" s="185" t="s">
        <v>70</v>
      </c>
      <c r="K90" s="186" t="s">
        <v>93</v>
      </c>
      <c r="L90" s="153" t="s">
        <v>35</v>
      </c>
      <c r="M90" s="153" t="s">
        <v>82</v>
      </c>
      <c r="N90" s="153" t="s">
        <v>31</v>
      </c>
      <c r="O90" s="135" t="s">
        <v>69</v>
      </c>
      <c r="P90" s="153" t="s">
        <v>72</v>
      </c>
      <c r="Q90" s="183" t="s">
        <v>80</v>
      </c>
      <c r="R90" s="187" t="s">
        <v>81</v>
      </c>
      <c r="S90" s="183" t="s">
        <v>77</v>
      </c>
      <c r="T90" s="598" t="s">
        <v>83</v>
      </c>
      <c r="U90" s="185" t="s">
        <v>70</v>
      </c>
      <c r="V90" s="153" t="s">
        <v>91</v>
      </c>
      <c r="W90" s="153" t="s">
        <v>43</v>
      </c>
      <c r="X90" s="153" t="s">
        <v>53</v>
      </c>
      <c r="Y90" s="153" t="s">
        <v>68</v>
      </c>
      <c r="Z90" s="153" t="s">
        <v>32</v>
      </c>
      <c r="AA90" s="135" t="s">
        <v>69</v>
      </c>
      <c r="AB90" s="153" t="s">
        <v>72</v>
      </c>
      <c r="AC90" s="153" t="s">
        <v>80</v>
      </c>
      <c r="AD90" s="187" t="s">
        <v>81</v>
      </c>
      <c r="AE90" s="183" t="s">
        <v>77</v>
      </c>
      <c r="AF90" s="185" t="s">
        <v>70</v>
      </c>
      <c r="AG90" s="153" t="s">
        <v>92</v>
      </c>
      <c r="AH90" s="153" t="s">
        <v>44</v>
      </c>
      <c r="AI90" s="153" t="s">
        <v>78</v>
      </c>
      <c r="AJ90" s="153" t="s">
        <v>68</v>
      </c>
      <c r="AK90" s="153" t="s">
        <v>33</v>
      </c>
      <c r="AL90" s="135" t="s">
        <v>69</v>
      </c>
      <c r="AM90" s="153" t="s">
        <v>72</v>
      </c>
      <c r="AN90" s="153" t="s">
        <v>80</v>
      </c>
      <c r="AO90" s="187" t="s">
        <v>81</v>
      </c>
      <c r="AP90" s="183" t="s">
        <v>77</v>
      </c>
      <c r="AQ90" s="185" t="s">
        <v>70</v>
      </c>
      <c r="AR90" s="153" t="s">
        <v>92</v>
      </c>
      <c r="AS90" s="153" t="s">
        <v>44</v>
      </c>
      <c r="AT90" s="153" t="s">
        <v>78</v>
      </c>
      <c r="AU90" s="153" t="s">
        <v>68</v>
      </c>
      <c r="AV90" s="153" t="s">
        <v>33</v>
      </c>
      <c r="AW90" s="135" t="s">
        <v>69</v>
      </c>
      <c r="AX90" s="153"/>
      <c r="AY90" s="153"/>
      <c r="AZ90" s="178"/>
      <c r="BA90" s="227"/>
      <c r="BB90" s="349"/>
      <c r="BC90" s="227"/>
      <c r="BD90" s="275"/>
      <c r="BE90" s="12"/>
    </row>
    <row r="91" spans="1:57" ht="13.5" customHeight="1" x14ac:dyDescent="0.25">
      <c r="A91" s="296"/>
      <c r="B91" s="116"/>
      <c r="C91" s="115"/>
      <c r="D91" s="178"/>
      <c r="E91" s="189">
        <f>BB$89</f>
        <v>0</v>
      </c>
      <c r="F91" s="190">
        <f>IF($D$4=2022,1,0)</f>
        <v>0</v>
      </c>
      <c r="G91" s="178">
        <f>IF($B97="Yes",$C$5,$I97)</f>
        <v>12</v>
      </c>
      <c r="H91" s="191">
        <f>VLOOKUP(H96,'Lookup Tables'!$A$22:$B$33,2,FALSE)</f>
        <v>3</v>
      </c>
      <c r="I91" s="192">
        <f>VLOOKUP($E$4,'Lookup Tables'!$AB$46:$AN$58,MATCH($H91,'Lookup Tables'!$AB$46:$AN$46),FALSE)</f>
        <v>12</v>
      </c>
      <c r="J91" s="193">
        <f>VLOOKUP(H91,'Lookup Tables'!$A$3:$AA$16,MATCH(PersonCalcYr2!$G$91,'Lookup Tables'!$A$3:$AA$3),FALSE)</f>
        <v>1.5161</v>
      </c>
      <c r="K91" s="194">
        <f>VLOOKUP($H96,'Lookup Tables'!$K$23:$L$34,2,FALSE)</f>
        <v>0</v>
      </c>
      <c r="L91" s="178">
        <f>IF(G91&lt;=K91,G91,K91)</f>
        <v>0</v>
      </c>
      <c r="M91" s="195">
        <f>IF(12-I91&gt;=1,1,0)</f>
        <v>0</v>
      </c>
      <c r="N91" s="196">
        <f>(('Rate Tables'!B24*PersonCalcYr2!E91)*PersonCalcYr2!L91)*PersonCalcYr2!F91*M91</f>
        <v>0</v>
      </c>
      <c r="O91" s="197">
        <f>G91-((J91+L91)*M91)</f>
        <v>12</v>
      </c>
      <c r="P91" s="197">
        <f>IF(O91&lt;0,O91*0,1)*O91</f>
        <v>12</v>
      </c>
      <c r="Q91" s="198">
        <f>H91+(L91*M91)+(J91*M91)</f>
        <v>3</v>
      </c>
      <c r="R91" s="199" t="str">
        <f>VLOOKUP(Q91,'Lookup Tables'!$A$38:$B$151,2,FALSE)</f>
        <v>Sept</v>
      </c>
      <c r="S91" s="191">
        <f>VLOOKUP(R91,'Lookup Tables'!$A$22:$B$33,2,FALSE)</f>
        <v>3</v>
      </c>
      <c r="T91" s="599">
        <f>VLOOKUP($E$4,'Lookup Tables'!$AB$63:$AN$75,MATCH(PersonCalcYr2!$S91,'Lookup Tables'!$AB$63:$AN$63),FALSE)</f>
        <v>0.5161</v>
      </c>
      <c r="U91" s="200">
        <f>VLOOKUP(S91,'Lookup Tables'!$A$3:$AA$16,MATCH(PersonCalcYr2!$P$91,'Lookup Tables'!$A$3:$AA$3),FALSE)</f>
        <v>1.5161</v>
      </c>
      <c r="V91" s="496">
        <f>9-T91</f>
        <v>8.4839000000000002</v>
      </c>
      <c r="W91" s="201">
        <f>P91-U91</f>
        <v>10.4839</v>
      </c>
      <c r="X91" s="195">
        <f>IF(V91&lt;=W91,V91,W91)</f>
        <v>8.4839000000000002</v>
      </c>
      <c r="Y91" s="195">
        <f>IF(12-T91-U91-X91&gt;=0,1,0)</f>
        <v>1</v>
      </c>
      <c r="Z91" s="202">
        <f>((('Rate Tables'!C24*$E91)*PersonCalcYr2!$X91)*$F91)*Y91</f>
        <v>0</v>
      </c>
      <c r="AA91" s="197">
        <f>O91-(((U91*U97)+X91)*Y91)</f>
        <v>2</v>
      </c>
      <c r="AB91" s="197">
        <f>IF(AA91&lt;0,AA91*0,1)*AA91</f>
        <v>2</v>
      </c>
      <c r="AC91" s="601">
        <f>S91+(X91*Y91)+((U91*U97)*Y91)</f>
        <v>13</v>
      </c>
      <c r="AD91" s="199" t="str">
        <f>VLOOKUP(AC91,'Lookup Tables'!$A$38:$B$151,2,FALSE)</f>
        <v>July</v>
      </c>
      <c r="AE91" s="191">
        <f>VLOOKUP(AD91,'Lookup Tables'!$A$22:$B$33,2,FALSE)</f>
        <v>1</v>
      </c>
      <c r="AF91" s="200">
        <f>VLOOKUP(AE91,'Lookup Tables'!$A$3:$AA$16,MATCH(PersonCalcYr2!AB$91,'Lookup Tables'!$A$3:$AA$3),FALSE)</f>
        <v>1.4839</v>
      </c>
      <c r="AG91" s="178">
        <v>9</v>
      </c>
      <c r="AH91" s="201">
        <f>AB91-AF91</f>
        <v>0.5161</v>
      </c>
      <c r="AI91" s="195">
        <f>IF(AG91&lt;=AH91,AG91,AH91)</f>
        <v>0.5161</v>
      </c>
      <c r="AJ91" s="195">
        <f>IF((AG91+AF91)&lt;=0,0,1)</f>
        <v>1</v>
      </c>
      <c r="AK91" s="204">
        <f>((('Rate Tables'!D24*$E91)*PersonCalcYr2!AI91)*$F91)*AJ91</f>
        <v>0</v>
      </c>
      <c r="AL91" s="215">
        <f>AB91-AF91-AI91</f>
        <v>0</v>
      </c>
      <c r="AM91" s="197">
        <f>IF(AL91&lt;0,AL91*0,1)*AL91</f>
        <v>0</v>
      </c>
      <c r="AN91" s="601">
        <f>AE91+(AI91*AJ91)+((AF91*AF97)*AJ91)</f>
        <v>3</v>
      </c>
      <c r="AO91" s="199" t="str">
        <f>VLOOKUP(AN91,'Lookup Tables'!$A$38:$B$151,2,FALSE)</f>
        <v>Sept</v>
      </c>
      <c r="AP91" s="191">
        <f>VLOOKUP(AO91,'Lookup Tables'!$A$22:$B$33,2,FALSE)</f>
        <v>3</v>
      </c>
      <c r="AQ91" s="200">
        <f>VLOOKUP(AP91,'Lookup Tables'!$A$3:$AA$16,MATCH(PersonCalcYr2!AM$91,'Lookup Tables'!$A$3:$AA$3),FALSE)</f>
        <v>0</v>
      </c>
      <c r="AR91" s="178">
        <v>9</v>
      </c>
      <c r="AS91" s="201">
        <f>AM91-AQ91</f>
        <v>0</v>
      </c>
      <c r="AT91" s="195">
        <f>IF(AR91&lt;=AS91,AR91,AS91)</f>
        <v>0</v>
      </c>
      <c r="AU91" s="195">
        <f>IF((AR91+AQ91)&lt;=0,0,1)</f>
        <v>1</v>
      </c>
      <c r="AV91" s="204">
        <f>((('Rate Tables'!E24*$E91)*PersonCalcYr2!AT91)*$F91)*AU91</f>
        <v>0</v>
      </c>
      <c r="AW91" s="215">
        <f>AM91-AQ91-AT91</f>
        <v>0</v>
      </c>
      <c r="AX91" s="197"/>
      <c r="AY91" s="197"/>
      <c r="AZ91" s="178"/>
      <c r="BA91" s="227"/>
      <c r="BB91" s="350"/>
      <c r="BC91" s="227"/>
      <c r="BD91" s="275"/>
      <c r="BE91" s="12"/>
    </row>
    <row r="92" spans="1:57" ht="13.5" customHeight="1" x14ac:dyDescent="0.25">
      <c r="A92" s="296"/>
      <c r="B92" s="116"/>
      <c r="C92" s="117" t="s">
        <v>597</v>
      </c>
      <c r="D92" s="178"/>
      <c r="E92" s="153" t="s">
        <v>16</v>
      </c>
      <c r="F92" s="153" t="s">
        <v>42</v>
      </c>
      <c r="G92" s="153" t="s">
        <v>41</v>
      </c>
      <c r="H92" s="183" t="s">
        <v>77</v>
      </c>
      <c r="I92" s="184" t="s">
        <v>90</v>
      </c>
      <c r="J92" s="185" t="s">
        <v>70</v>
      </c>
      <c r="K92" s="186" t="s">
        <v>109</v>
      </c>
      <c r="L92" s="153" t="s">
        <v>53</v>
      </c>
      <c r="M92" s="153" t="s">
        <v>82</v>
      </c>
      <c r="N92" s="153" t="s">
        <v>32</v>
      </c>
      <c r="O92" s="135" t="s">
        <v>69</v>
      </c>
      <c r="P92" s="153" t="s">
        <v>72</v>
      </c>
      <c r="Q92" s="183" t="s">
        <v>80</v>
      </c>
      <c r="R92" s="187" t="s">
        <v>81</v>
      </c>
      <c r="S92" s="183" t="s">
        <v>77</v>
      </c>
      <c r="T92" s="598" t="s">
        <v>83</v>
      </c>
      <c r="U92" s="185" t="s">
        <v>70</v>
      </c>
      <c r="V92" s="153" t="s">
        <v>92</v>
      </c>
      <c r="W92" s="153" t="s">
        <v>44</v>
      </c>
      <c r="X92" s="153" t="s">
        <v>78</v>
      </c>
      <c r="Y92" s="153" t="s">
        <v>68</v>
      </c>
      <c r="Z92" s="153" t="s">
        <v>33</v>
      </c>
      <c r="AA92" s="135" t="s">
        <v>69</v>
      </c>
      <c r="AB92" s="153" t="s">
        <v>72</v>
      </c>
      <c r="AC92" s="153" t="s">
        <v>80</v>
      </c>
      <c r="AD92" s="187" t="s">
        <v>81</v>
      </c>
      <c r="AE92" s="183" t="s">
        <v>77</v>
      </c>
      <c r="AF92" s="185" t="s">
        <v>70</v>
      </c>
      <c r="AG92" s="153" t="s">
        <v>94</v>
      </c>
      <c r="AH92" s="153" t="s">
        <v>45</v>
      </c>
      <c r="AI92" s="153" t="s">
        <v>79</v>
      </c>
      <c r="AJ92" s="153" t="s">
        <v>68</v>
      </c>
      <c r="AK92" s="153" t="s">
        <v>34</v>
      </c>
      <c r="AL92" s="135" t="s">
        <v>69</v>
      </c>
      <c r="AM92" s="153" t="s">
        <v>72</v>
      </c>
      <c r="AN92" s="153" t="s">
        <v>80</v>
      </c>
      <c r="AO92" s="187" t="s">
        <v>81</v>
      </c>
      <c r="AP92" s="183" t="s">
        <v>77</v>
      </c>
      <c r="AQ92" s="185" t="s">
        <v>70</v>
      </c>
      <c r="AR92" s="153" t="s">
        <v>94</v>
      </c>
      <c r="AS92" s="153" t="s">
        <v>45</v>
      </c>
      <c r="AT92" s="153" t="s">
        <v>79</v>
      </c>
      <c r="AU92" s="153" t="s">
        <v>68</v>
      </c>
      <c r="AV92" s="153" t="s">
        <v>34</v>
      </c>
      <c r="AW92" s="135" t="s">
        <v>69</v>
      </c>
      <c r="AX92" s="153"/>
      <c r="AY92" s="153"/>
      <c r="AZ92" s="178"/>
      <c r="BA92" s="227"/>
      <c r="BB92" s="351"/>
      <c r="BC92" s="227"/>
      <c r="BD92" s="275"/>
      <c r="BE92" s="12"/>
    </row>
    <row r="93" spans="1:57" ht="13.5" customHeight="1" x14ac:dyDescent="0.25">
      <c r="A93" s="296"/>
      <c r="B93" s="116"/>
      <c r="C93" s="115"/>
      <c r="D93" s="178"/>
      <c r="E93" s="189">
        <f>BB$89</f>
        <v>0</v>
      </c>
      <c r="F93" s="190">
        <f>IF($D$4=2023,1,0)</f>
        <v>1</v>
      </c>
      <c r="G93" s="178">
        <f>IF($B97="Yes",$C$5,$I97)</f>
        <v>12</v>
      </c>
      <c r="H93" s="191">
        <f>VLOOKUP(H96,'Lookup Tables'!$A$22:$B$33,2,FALSE)</f>
        <v>3</v>
      </c>
      <c r="I93" s="192">
        <f>VLOOKUP($E$4,'Lookup Tables'!$AB$46:$AN$58,MATCH($H93,'Lookup Tables'!$AB$46:$AN$46),FALSE)</f>
        <v>12</v>
      </c>
      <c r="J93" s="193">
        <f>VLOOKUP(H93,'Lookup Tables'!$A$3:$AA$16,MATCH(PersonCalcYr2!$G93,'Lookup Tables'!$A$3:$AA$3),FALSE)</f>
        <v>1.5161</v>
      </c>
      <c r="K93" s="194">
        <f>VLOOKUP(H96,'Lookup Tables'!$K$23:$L$34,2,FALSE)</f>
        <v>0</v>
      </c>
      <c r="L93" s="178">
        <f>IF(G93&lt;=K93,G93,K93)</f>
        <v>0</v>
      </c>
      <c r="M93" s="195">
        <f>IF(12-I93&gt;=1,1,0)</f>
        <v>0</v>
      </c>
      <c r="N93" s="196">
        <f>(('Rate Tables'!C24*PersonCalcYr2!E93)*PersonCalcYr2!L93)*PersonCalcYr2!F93*M93</f>
        <v>0</v>
      </c>
      <c r="O93" s="197">
        <f>G93-((J93+L93)*M93)</f>
        <v>12</v>
      </c>
      <c r="P93" s="197">
        <f>IF(O93&lt;0,O93*0,1)*O93</f>
        <v>12</v>
      </c>
      <c r="Q93" s="198">
        <f>H93+(L93*M93)+(J93*M93)</f>
        <v>3</v>
      </c>
      <c r="R93" s="199" t="str">
        <f>VLOOKUP(Q93,'Lookup Tables'!$A$38:$B$151,2,FALSE)</f>
        <v>Sept</v>
      </c>
      <c r="S93" s="191">
        <f>VLOOKUP(R93,'Lookup Tables'!$A$22:$B$33,2,FALSE)</f>
        <v>3</v>
      </c>
      <c r="T93" s="599">
        <f>VLOOKUP($E$4,'Lookup Tables'!$AB$63:$AN$75,MATCH(PersonCalcYr2!$S93,'Lookup Tables'!$AB$63:$AN$63),FALSE)</f>
        <v>0.5161</v>
      </c>
      <c r="U93" s="200">
        <f>VLOOKUP(S93,'Lookup Tables'!$A$3:$AA$16,MATCH(PersonCalcYr2!$P93,'Lookup Tables'!$A$3:$AA$3),FALSE)</f>
        <v>1.5161</v>
      </c>
      <c r="V93" s="496">
        <f>9-T93</f>
        <v>8.4839000000000002</v>
      </c>
      <c r="W93" s="201">
        <f>P93-U93</f>
        <v>10.4839</v>
      </c>
      <c r="X93" s="195">
        <f>IF(V93&lt;=W93,V93,W93)</f>
        <v>8.4839000000000002</v>
      </c>
      <c r="Y93" s="195">
        <f>IF(12-T93-U93-X93&gt;=0,1,0)</f>
        <v>1</v>
      </c>
      <c r="Z93" s="202">
        <f>((('Rate Tables'!D24*$E93)*PersonCalcYr2!$X93)*$F93)*Y93</f>
        <v>0</v>
      </c>
      <c r="AA93" s="197">
        <f>O93-(((U93*U97)+X93)*Y93)</f>
        <v>2</v>
      </c>
      <c r="AB93" s="197">
        <f>IF(AA93&lt;0,AA93*0,1)*AA93</f>
        <v>2</v>
      </c>
      <c r="AC93" s="601">
        <f>S93+(X93*Y93)+((U93*U97)*Y93)</f>
        <v>13</v>
      </c>
      <c r="AD93" s="199" t="str">
        <f>VLOOKUP(AC93,'Lookup Tables'!$A$38:$B$151,2,FALSE)</f>
        <v>July</v>
      </c>
      <c r="AE93" s="191">
        <f>VLOOKUP(AD93,'Lookup Tables'!$A$22:$B$33,2,FALSE)</f>
        <v>1</v>
      </c>
      <c r="AF93" s="200">
        <f>VLOOKUP(AE93,'Lookup Tables'!$A$3:$AA$16,MATCH(PersonCalcYr2!AB93,'Lookup Tables'!$A$3:$AA$3),FALSE)</f>
        <v>1.4839</v>
      </c>
      <c r="AG93" s="178">
        <v>9</v>
      </c>
      <c r="AH93" s="201">
        <f>AB93-AF93</f>
        <v>0.5161</v>
      </c>
      <c r="AI93" s="195">
        <f>IF(AG93&lt;=AH93,AG93,AH93)</f>
        <v>0.5161</v>
      </c>
      <c r="AJ93" s="195">
        <f>IF((AG93+AF93)&lt;=0,0,1)</f>
        <v>1</v>
      </c>
      <c r="AK93" s="204">
        <f>((('Rate Tables'!E24*$E93)*PersonCalcYr2!AI93)*$F93)*AJ93</f>
        <v>0</v>
      </c>
      <c r="AL93" s="215">
        <f>AB93-AF93-AI93</f>
        <v>0</v>
      </c>
      <c r="AM93" s="197">
        <f>IF(AL93&lt;0,AL93*0,1)*AL93</f>
        <v>0</v>
      </c>
      <c r="AN93" s="601">
        <f>AE93+(AI93*AJ93)+((AF93*AF97)*AJ93)</f>
        <v>3</v>
      </c>
      <c r="AO93" s="199" t="str">
        <f>VLOOKUP(AN93,'Lookup Tables'!$A$38:$B$151,2,FALSE)</f>
        <v>Sept</v>
      </c>
      <c r="AP93" s="191">
        <f>VLOOKUP(AO93,'Lookup Tables'!$A$22:$B$33,2,FALSE)</f>
        <v>3</v>
      </c>
      <c r="AQ93" s="200">
        <f>VLOOKUP(AP93,'Lookup Tables'!$A$3:$AA$16,MATCH(PersonCalcYr2!AM93,'Lookup Tables'!$A$3:$AA$3),FALSE)</f>
        <v>0</v>
      </c>
      <c r="AR93" s="178">
        <v>9</v>
      </c>
      <c r="AS93" s="201">
        <f>AM93-AQ93</f>
        <v>0</v>
      </c>
      <c r="AT93" s="195">
        <f>IF(AR93&lt;=AS93,AR93,AS93)</f>
        <v>0</v>
      </c>
      <c r="AU93" s="195">
        <f>IF((AR93+AQ93)&lt;=0,0,1)</f>
        <v>1</v>
      </c>
      <c r="AV93" s="204">
        <f>((('Rate Tables'!F24*$E93)*PersonCalcYr2!AT93)*$F93)*AU93</f>
        <v>0</v>
      </c>
      <c r="AW93" s="215">
        <f>AM93-AQ93-AT93</f>
        <v>0</v>
      </c>
      <c r="AX93" s="197"/>
      <c r="AY93" s="197"/>
      <c r="AZ93" s="178"/>
      <c r="BA93" s="227"/>
      <c r="BB93" s="349"/>
      <c r="BC93" s="227"/>
      <c r="BD93" s="275"/>
      <c r="BE93" s="12"/>
    </row>
    <row r="94" spans="1:57" ht="13.5" customHeight="1" x14ac:dyDescent="0.25">
      <c r="A94" s="296"/>
      <c r="B94" s="116"/>
      <c r="C94" s="117" t="s">
        <v>664</v>
      </c>
      <c r="D94" s="178"/>
      <c r="E94" s="153" t="s">
        <v>16</v>
      </c>
      <c r="F94" s="153" t="s">
        <v>42</v>
      </c>
      <c r="G94" s="153" t="s">
        <v>41</v>
      </c>
      <c r="H94" s="183" t="s">
        <v>77</v>
      </c>
      <c r="I94" s="184" t="s">
        <v>90</v>
      </c>
      <c r="J94" s="185" t="s">
        <v>70</v>
      </c>
      <c r="K94" s="186" t="s">
        <v>109</v>
      </c>
      <c r="L94" s="153" t="s">
        <v>53</v>
      </c>
      <c r="M94" s="153" t="s">
        <v>82</v>
      </c>
      <c r="N94" s="153" t="s">
        <v>32</v>
      </c>
      <c r="O94" s="135" t="s">
        <v>69</v>
      </c>
      <c r="P94" s="153" t="s">
        <v>72</v>
      </c>
      <c r="Q94" s="183" t="s">
        <v>80</v>
      </c>
      <c r="R94" s="187" t="s">
        <v>81</v>
      </c>
      <c r="S94" s="183" t="s">
        <v>77</v>
      </c>
      <c r="T94" s="598" t="s">
        <v>83</v>
      </c>
      <c r="U94" s="185" t="s">
        <v>70</v>
      </c>
      <c r="V94" s="153" t="s">
        <v>92</v>
      </c>
      <c r="W94" s="153" t="s">
        <v>44</v>
      </c>
      <c r="X94" s="153" t="s">
        <v>78</v>
      </c>
      <c r="Y94" s="153" t="s">
        <v>68</v>
      </c>
      <c r="Z94" s="153" t="s">
        <v>33</v>
      </c>
      <c r="AA94" s="135" t="s">
        <v>69</v>
      </c>
      <c r="AB94" s="153" t="s">
        <v>72</v>
      </c>
      <c r="AC94" s="153" t="s">
        <v>80</v>
      </c>
      <c r="AD94" s="187" t="s">
        <v>81</v>
      </c>
      <c r="AE94" s="183" t="s">
        <v>77</v>
      </c>
      <c r="AF94" s="185" t="s">
        <v>70</v>
      </c>
      <c r="AG94" s="153" t="s">
        <v>94</v>
      </c>
      <c r="AH94" s="153" t="s">
        <v>45</v>
      </c>
      <c r="AI94" s="153" t="s">
        <v>79</v>
      </c>
      <c r="AJ94" s="153" t="s">
        <v>68</v>
      </c>
      <c r="AK94" s="153" t="s">
        <v>34</v>
      </c>
      <c r="AL94" s="135" t="s">
        <v>69</v>
      </c>
      <c r="AM94" s="153" t="s">
        <v>72</v>
      </c>
      <c r="AN94" s="153" t="s">
        <v>80</v>
      </c>
      <c r="AO94" s="187" t="s">
        <v>81</v>
      </c>
      <c r="AP94" s="183" t="s">
        <v>77</v>
      </c>
      <c r="AQ94" s="185" t="s">
        <v>70</v>
      </c>
      <c r="AR94" s="153" t="s">
        <v>94</v>
      </c>
      <c r="AS94" s="153" t="s">
        <v>45</v>
      </c>
      <c r="AT94" s="153" t="s">
        <v>79</v>
      </c>
      <c r="AU94" s="153" t="s">
        <v>68</v>
      </c>
      <c r="AV94" s="153" t="s">
        <v>34</v>
      </c>
      <c r="AW94" s="135" t="s">
        <v>69</v>
      </c>
      <c r="AX94" s="197"/>
      <c r="AY94" s="197"/>
      <c r="AZ94" s="178"/>
      <c r="BA94" s="227"/>
      <c r="BB94" s="349"/>
      <c r="BC94" s="227"/>
      <c r="BD94" s="275"/>
      <c r="BE94" s="12"/>
    </row>
    <row r="95" spans="1:57" ht="13.5" customHeight="1" x14ac:dyDescent="0.25">
      <c r="A95" s="296"/>
      <c r="B95" s="116"/>
      <c r="C95" s="115"/>
      <c r="D95" s="178"/>
      <c r="E95" s="189">
        <f>BB$89</f>
        <v>0</v>
      </c>
      <c r="F95" s="190">
        <f>IF($D$4=2024,1,0)</f>
        <v>0</v>
      </c>
      <c r="G95" s="178">
        <f>IF($B97="Yes",$C$5,$I97)</f>
        <v>12</v>
      </c>
      <c r="H95" s="191">
        <f>VLOOKUP(H96,'Lookup Tables'!$A$22:$B$33,2,FALSE)</f>
        <v>3</v>
      </c>
      <c r="I95" s="192">
        <f>VLOOKUP($E$4,'Lookup Tables'!$AB$46:$AN$58,MATCH($H95,'Lookup Tables'!$AB$46:$AN$46),FALSE)</f>
        <v>12</v>
      </c>
      <c r="J95" s="193">
        <f>VLOOKUP(H95,'Lookup Tables'!$A$3:$AA$16,MATCH(PersonCalcYr2!$G95,'Lookup Tables'!$A$3:$AA$3),FALSE)</f>
        <v>1.5161</v>
      </c>
      <c r="K95" s="194">
        <f>VLOOKUP(H96,'Lookup Tables'!$K$23:$L$34,2,FALSE)</f>
        <v>0</v>
      </c>
      <c r="L95" s="178">
        <f>IF(G95&lt;=K95,G95,K95)</f>
        <v>0</v>
      </c>
      <c r="M95" s="195">
        <f>IF(12-I95&gt;=1,1,0)</f>
        <v>0</v>
      </c>
      <c r="N95" s="196">
        <f>(('Rate Tables'!D24*PersonCalcYr2!E95)*PersonCalcYr2!L95)*PersonCalcYr2!F95*M95</f>
        <v>0</v>
      </c>
      <c r="O95" s="197">
        <f>G95-((J95+L95)*M95)</f>
        <v>12</v>
      </c>
      <c r="P95" s="197">
        <f>IF(O95&lt;0,O95*0,1)*O95</f>
        <v>12</v>
      </c>
      <c r="Q95" s="198">
        <f>H95+(L95*M95)+(J95*M95)</f>
        <v>3</v>
      </c>
      <c r="R95" s="199" t="str">
        <f>VLOOKUP(Q95,'Lookup Tables'!$A$38:$B$151,2,FALSE)</f>
        <v>Sept</v>
      </c>
      <c r="S95" s="191">
        <f>VLOOKUP(R95,'Lookup Tables'!$A$22:$B$33,2,FALSE)</f>
        <v>3</v>
      </c>
      <c r="T95" s="599">
        <f>VLOOKUP($E$4,'Lookup Tables'!$AB$63:$AN$75,MATCH(PersonCalcYr2!$S95,'Lookup Tables'!$AB$63:$AN$63),FALSE)</f>
        <v>0.5161</v>
      </c>
      <c r="U95" s="200">
        <f>VLOOKUP(S95,'Lookup Tables'!$A$3:$AA$16,MATCH(PersonCalcYr2!$P95,'Lookup Tables'!$A$3:$AA$3),FALSE)</f>
        <v>1.5161</v>
      </c>
      <c r="V95" s="496">
        <f>9-T95</f>
        <v>8.4839000000000002</v>
      </c>
      <c r="W95" s="201">
        <f>P95-U95</f>
        <v>10.4839</v>
      </c>
      <c r="X95" s="195">
        <f>IF(V95&lt;=W95,V95,W95)</f>
        <v>8.4839000000000002</v>
      </c>
      <c r="Y95" s="195">
        <f>IF(12-T95-U95-X95&gt;=0,1,0)</f>
        <v>1</v>
      </c>
      <c r="Z95" s="202">
        <f>((('Rate Tables'!E24*$E95)*PersonCalcYr2!$X95)*$F95)*Y95</f>
        <v>0</v>
      </c>
      <c r="AA95" s="197">
        <f>O95-(((U95*U97)+X95)*Y95)</f>
        <v>2</v>
      </c>
      <c r="AB95" s="197">
        <f>IF(AA95&lt;0,AA95*0,1)*AA95</f>
        <v>2</v>
      </c>
      <c r="AC95" s="601">
        <f>S95+(X95*Y95)+((U95*U97)*Y95)</f>
        <v>13</v>
      </c>
      <c r="AD95" s="199" t="str">
        <f>VLOOKUP(AC95,'Lookup Tables'!$A$38:$B$151,2,FALSE)</f>
        <v>July</v>
      </c>
      <c r="AE95" s="191">
        <f>VLOOKUP(AD95,'Lookup Tables'!$A$22:$B$33,2,FALSE)</f>
        <v>1</v>
      </c>
      <c r="AF95" s="200">
        <f>VLOOKUP(AE95,'Lookup Tables'!$A$3:$AA$16,MATCH(PersonCalcYr2!AB95,'Lookup Tables'!$A$3:$AA$3),FALSE)</f>
        <v>1.4839</v>
      </c>
      <c r="AG95" s="178">
        <v>9</v>
      </c>
      <c r="AH95" s="201">
        <f>AB95-AF95</f>
        <v>0.5161</v>
      </c>
      <c r="AI95" s="195">
        <f>IF(AG95&lt;=AH95,AG95,AH95)</f>
        <v>0.5161</v>
      </c>
      <c r="AJ95" s="195">
        <f>IF((AG95+AF95)&lt;=0,0,1)</f>
        <v>1</v>
      </c>
      <c r="AK95" s="204">
        <f>((('Rate Tables'!F24*$E95)*PersonCalcYr2!AI95)*$F95)*AJ95</f>
        <v>0</v>
      </c>
      <c r="AL95" s="215">
        <f>AB95-AF95-AI95</f>
        <v>0</v>
      </c>
      <c r="AM95" s="197">
        <f>IF(AL95&lt;0,AL95*0,1)*AL95</f>
        <v>0</v>
      </c>
      <c r="AN95" s="208">
        <f>AE95+(AI95*AJ95)+((AF95*AF97)*AJ95)</f>
        <v>3</v>
      </c>
      <c r="AO95" s="199" t="str">
        <f>VLOOKUP(AN95,'Lookup Tables'!$A$38:$B$151,2,FALSE)</f>
        <v>Sept</v>
      </c>
      <c r="AP95" s="191">
        <f>VLOOKUP(AO95,'Lookup Tables'!$A$22:$B$33,2,FALSE)</f>
        <v>3</v>
      </c>
      <c r="AQ95" s="200">
        <f>VLOOKUP(AP95,'Lookup Tables'!$A$3:$AA$16,MATCH(PersonCalcYr2!AM95,'Lookup Tables'!$A$3:$AA$3),FALSE)</f>
        <v>0</v>
      </c>
      <c r="AR95" s="178">
        <v>9</v>
      </c>
      <c r="AS95" s="201">
        <f>AM95-AQ95</f>
        <v>0</v>
      </c>
      <c r="AT95" s="195">
        <f>IF(AR95&lt;=AS95,AR95,AS95)</f>
        <v>0</v>
      </c>
      <c r="AU95" s="195">
        <f>IF((AR95+AQ95)&lt;=0,0,1)</f>
        <v>1</v>
      </c>
      <c r="AV95" s="204">
        <f>((('Rate Tables'!G24*$E95)*PersonCalcYr2!AT95)*$F95)*AU95</f>
        <v>0</v>
      </c>
      <c r="AW95" s="215">
        <f>AM95-AQ95-AT95</f>
        <v>0</v>
      </c>
      <c r="AX95" s="197"/>
      <c r="AY95" s="197"/>
      <c r="AZ95" s="178"/>
      <c r="BA95" s="227"/>
      <c r="BB95" s="349"/>
      <c r="BC95" s="227"/>
      <c r="BD95" s="275"/>
      <c r="BE95" s="12"/>
    </row>
    <row r="96" spans="1:57" ht="13.5" customHeight="1" x14ac:dyDescent="0.25">
      <c r="A96" s="296"/>
      <c r="B96" s="116"/>
      <c r="C96" s="115"/>
      <c r="D96" s="178"/>
      <c r="E96" s="205"/>
      <c r="F96" s="190"/>
      <c r="G96" s="178" t="s">
        <v>430</v>
      </c>
      <c r="H96" s="178" t="str">
        <f>IF(B97="yes",$C$4,A106)</f>
        <v>Sept</v>
      </c>
      <c r="I96" s="178"/>
      <c r="J96" s="178"/>
      <c r="K96" s="178"/>
      <c r="L96" s="178"/>
      <c r="M96" s="206"/>
      <c r="N96" s="207"/>
      <c r="O96" s="216"/>
      <c r="P96" s="190"/>
      <c r="Q96" s="190"/>
      <c r="R96" s="190"/>
      <c r="S96" s="190"/>
      <c r="T96" s="190"/>
      <c r="U96" s="178"/>
      <c r="V96" s="201"/>
      <c r="W96" s="201"/>
      <c r="X96" s="178"/>
      <c r="Y96" s="206"/>
      <c r="Z96" s="207"/>
      <c r="AA96" s="216"/>
      <c r="AB96" s="202"/>
      <c r="AC96" s="202"/>
      <c r="AD96" s="202"/>
      <c r="AE96" s="202"/>
      <c r="AF96" s="203"/>
      <c r="AG96" s="201"/>
      <c r="AH96" s="201"/>
      <c r="AI96" s="178"/>
      <c r="AJ96" s="206"/>
      <c r="AK96" s="207"/>
      <c r="AL96" s="216"/>
      <c r="AM96" s="202"/>
      <c r="AN96" s="202"/>
      <c r="AO96" s="202"/>
      <c r="AP96" s="202"/>
      <c r="AQ96" s="203"/>
      <c r="AR96" s="201"/>
      <c r="AS96" s="201"/>
      <c r="AT96" s="178"/>
      <c r="AU96" s="206"/>
      <c r="AV96" s="207"/>
      <c r="AW96" s="216"/>
      <c r="AX96" s="202"/>
      <c r="AY96" s="202"/>
      <c r="AZ96" s="178"/>
      <c r="BA96" s="307" t="s">
        <v>450</v>
      </c>
      <c r="BB96" s="349">
        <f>IF(B89=0,0,1)</f>
        <v>1</v>
      </c>
      <c r="BC96" s="227"/>
      <c r="BD96" s="275"/>
      <c r="BE96" s="12"/>
    </row>
    <row r="97" spans="1:59" ht="13.5" customHeight="1" x14ac:dyDescent="0.25">
      <c r="A97" s="37" t="s">
        <v>431</v>
      </c>
      <c r="B97" s="375" t="str">
        <f>Personnel!M33</f>
        <v>YES</v>
      </c>
      <c r="C97" s="115"/>
      <c r="D97" s="178"/>
      <c r="E97" s="205"/>
      <c r="F97" s="190"/>
      <c r="G97" s="491" t="s">
        <v>555</v>
      </c>
      <c r="H97" s="11">
        <f>IF(H98&lt;$C$5,H98,$C$5)</f>
        <v>12</v>
      </c>
      <c r="I97" s="178">
        <f>IF(B106&lt;=H98,B106,H98)</f>
        <v>0</v>
      </c>
      <c r="J97" s="178"/>
      <c r="K97" s="178"/>
      <c r="L97" s="178"/>
      <c r="M97" s="178"/>
      <c r="N97" s="178"/>
      <c r="O97" s="217"/>
      <c r="P97" s="190"/>
      <c r="Q97" s="190"/>
      <c r="R97" s="190"/>
      <c r="S97" s="190"/>
      <c r="T97" s="605" t="s">
        <v>573</v>
      </c>
      <c r="U97" s="606">
        <f>VLOOKUP($E$4,'Lookup Tables'!$L$79:$X$91,MATCH(PersonCalcYr2!$S91,'Lookup Tables'!$L$79:$X$79),FALSE)</f>
        <v>1</v>
      </c>
      <c r="V97" s="201"/>
      <c r="W97" s="201"/>
      <c r="X97" s="201"/>
      <c r="Y97" s="195"/>
      <c r="Z97" s="195"/>
      <c r="AA97" s="202"/>
      <c r="AB97" s="202"/>
      <c r="AC97" s="202"/>
      <c r="AD97" s="202"/>
      <c r="AE97" s="605" t="s">
        <v>573</v>
      </c>
      <c r="AF97" s="714">
        <v>1</v>
      </c>
      <c r="AG97" s="201"/>
      <c r="AH97" s="201"/>
      <c r="AI97" s="201"/>
      <c r="AJ97" s="201"/>
      <c r="AK97" s="202"/>
      <c r="AL97" s="202"/>
      <c r="AM97" s="202"/>
      <c r="AN97" s="202"/>
      <c r="AO97" s="202"/>
      <c r="AP97" s="202"/>
      <c r="AQ97" s="203"/>
      <c r="AR97" s="201"/>
      <c r="AS97" s="201"/>
      <c r="AT97" s="201"/>
      <c r="AU97" s="201"/>
      <c r="AV97" s="202"/>
      <c r="AW97" s="202"/>
      <c r="AX97" s="202"/>
      <c r="AY97" s="202"/>
      <c r="AZ97" s="178"/>
      <c r="BA97" s="370" t="s">
        <v>411</v>
      </c>
      <c r="BB97" s="460">
        <f>Personnel!O34</f>
        <v>0</v>
      </c>
      <c r="BC97" s="276" t="s">
        <v>117</v>
      </c>
      <c r="BD97" s="277">
        <f>(N100+W100+AJ100+AU100+N102+W102+AJ102+AU102+N104+W104+AJ104+AU104)*BB96</f>
        <v>0</v>
      </c>
      <c r="BE97" s="224"/>
    </row>
    <row r="98" spans="1:59" ht="13.5" customHeight="1" x14ac:dyDescent="0.25">
      <c r="A98" s="296" t="s">
        <v>439</v>
      </c>
      <c r="B98" s="114" t="s">
        <v>427</v>
      </c>
      <c r="C98" s="114"/>
      <c r="D98" s="178"/>
      <c r="E98" s="178"/>
      <c r="F98" s="178"/>
      <c r="G98" s="178"/>
      <c r="H98" s="175">
        <f>VLOOKUP($E$4,'Lookup Tables'!$L$46:$AA$58,MATCH($H$91,'Lookup Tables'!$L$46:$X$46),FALSE)</f>
        <v>12</v>
      </c>
      <c r="I98" s="178"/>
      <c r="J98" s="178"/>
      <c r="K98" s="178"/>
      <c r="L98" s="178"/>
      <c r="M98" s="178"/>
      <c r="N98" s="178"/>
      <c r="O98" s="217"/>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227"/>
      <c r="BB98" s="12"/>
      <c r="BC98" s="278" t="s">
        <v>96</v>
      </c>
      <c r="BD98" s="279">
        <f>BD89+BD97</f>
        <v>0</v>
      </c>
      <c r="BE98" s="369"/>
    </row>
    <row r="99" spans="1:59" ht="13.5" customHeight="1" x14ac:dyDescent="0.25">
      <c r="A99" s="296"/>
      <c r="B99" s="116"/>
      <c r="C99" s="117" t="s">
        <v>30</v>
      </c>
      <c r="D99" s="178"/>
      <c r="E99" s="153" t="s">
        <v>84</v>
      </c>
      <c r="F99" s="153" t="s">
        <v>42</v>
      </c>
      <c r="G99" s="153" t="s">
        <v>41</v>
      </c>
      <c r="H99" s="183" t="s">
        <v>77</v>
      </c>
      <c r="I99" s="209" t="s">
        <v>101</v>
      </c>
      <c r="J99" s="210" t="s">
        <v>102</v>
      </c>
      <c r="K99" s="153" t="s">
        <v>98</v>
      </c>
      <c r="L99" s="153" t="s">
        <v>100</v>
      </c>
      <c r="M99" s="153" t="s">
        <v>82</v>
      </c>
      <c r="N99" s="153" t="s">
        <v>31</v>
      </c>
      <c r="O99" s="135" t="s">
        <v>69</v>
      </c>
      <c r="P99" s="153" t="s">
        <v>72</v>
      </c>
      <c r="Q99" s="153" t="s">
        <v>103</v>
      </c>
      <c r="R99" s="183" t="s">
        <v>77</v>
      </c>
      <c r="S99" s="209" t="s">
        <v>101</v>
      </c>
      <c r="T99" s="210" t="s">
        <v>102</v>
      </c>
      <c r="U99" s="178" t="s">
        <v>98</v>
      </c>
      <c r="V99" s="153" t="s">
        <v>100</v>
      </c>
      <c r="W99" s="153" t="s">
        <v>32</v>
      </c>
      <c r="X99" s="153" t="s">
        <v>69</v>
      </c>
      <c r="Y99" s="153"/>
      <c r="Z99" s="153"/>
      <c r="AA99" s="217"/>
      <c r="AB99" s="153" t="s">
        <v>72</v>
      </c>
      <c r="AC99" s="153" t="s">
        <v>103</v>
      </c>
      <c r="AD99" s="153"/>
      <c r="AE99" s="183" t="s">
        <v>77</v>
      </c>
      <c r="AF99" s="209" t="s">
        <v>101</v>
      </c>
      <c r="AG99" s="210" t="s">
        <v>102</v>
      </c>
      <c r="AH99" s="178" t="s">
        <v>98</v>
      </c>
      <c r="AI99" s="153" t="s">
        <v>100</v>
      </c>
      <c r="AJ99" s="153" t="s">
        <v>33</v>
      </c>
      <c r="AK99" s="153" t="s">
        <v>69</v>
      </c>
      <c r="AL99" s="217"/>
      <c r="AM99" s="153" t="s">
        <v>72</v>
      </c>
      <c r="AN99" s="153" t="s">
        <v>103</v>
      </c>
      <c r="AO99" s="153"/>
      <c r="AP99" s="183" t="s">
        <v>77</v>
      </c>
      <c r="AQ99" s="209" t="s">
        <v>101</v>
      </c>
      <c r="AR99" s="210" t="s">
        <v>102</v>
      </c>
      <c r="AS99" s="178" t="s">
        <v>98</v>
      </c>
      <c r="AT99" s="153" t="s">
        <v>100</v>
      </c>
      <c r="AU99" s="153" t="s">
        <v>33</v>
      </c>
      <c r="AV99" s="153" t="s">
        <v>69</v>
      </c>
      <c r="AW99" s="217"/>
      <c r="AX99" s="153"/>
      <c r="AY99" s="153"/>
      <c r="AZ99" s="178"/>
      <c r="BA99" s="276" t="s">
        <v>95</v>
      </c>
      <c r="BB99" s="12"/>
      <c r="BC99" s="227"/>
      <c r="BD99" s="275"/>
      <c r="BE99" s="12"/>
    </row>
    <row r="100" spans="1:59" ht="13.5" customHeight="1" x14ac:dyDescent="0.25">
      <c r="A100" s="296"/>
      <c r="B100" s="116"/>
      <c r="C100" s="115"/>
      <c r="D100" s="178"/>
      <c r="E100" s="211">
        <f>IF(H105&lt;=H106,H105,H106)</f>
        <v>0</v>
      </c>
      <c r="F100" s="190">
        <f>IF($D$4=2022,1,0)</f>
        <v>0</v>
      </c>
      <c r="G100" s="178">
        <f>IF($B97="Yes",$C$5,$I97)</f>
        <v>12</v>
      </c>
      <c r="H100" s="191">
        <f>H91</f>
        <v>3</v>
      </c>
      <c r="I100" s="212">
        <f>VLOOKUP(J91,'Lookup Tables'!$AB$22:$AC$31,2,FALSE)</f>
        <v>32</v>
      </c>
      <c r="J100" s="213">
        <f>VLOOKUP(U91,'Lookup Tables'!$AB$32:$AC$41,2,FALSE)</f>
        <v>33</v>
      </c>
      <c r="K100" s="203">
        <f>E100-J100</f>
        <v>-33</v>
      </c>
      <c r="L100" s="178">
        <f>IF(K100&gt;0,1,0)</f>
        <v>0</v>
      </c>
      <c r="M100" s="195">
        <f>M91</f>
        <v>0</v>
      </c>
      <c r="N100" s="196">
        <f>((((('Rate Tables'!B24*9)*0.02778)/5)*K100)*L100)*F100*M100</f>
        <v>0</v>
      </c>
      <c r="O100" s="215">
        <f>O91</f>
        <v>12</v>
      </c>
      <c r="P100" s="197">
        <f>IF(O100&lt;0,O100*0,1)*O100</f>
        <v>12</v>
      </c>
      <c r="Q100" s="203">
        <f>(E100-K100*F100*L100*M100)</f>
        <v>0</v>
      </c>
      <c r="R100" s="191">
        <f>S91</f>
        <v>3</v>
      </c>
      <c r="S100" s="212">
        <f>VLOOKUP(U91,'Lookup Tables'!$AB$22:$AC$31,2,FALSE)</f>
        <v>32</v>
      </c>
      <c r="T100" s="213">
        <f>VLOOKUP(AF91,'Lookup Tables'!$AB$32:$AC$41,2,FALSE)</f>
        <v>33</v>
      </c>
      <c r="U100" s="206">
        <f>Q100-T100</f>
        <v>-33</v>
      </c>
      <c r="V100" s="178">
        <f>IF(U100&gt;0,1,0)</f>
        <v>0</v>
      </c>
      <c r="W100" s="196">
        <f>((('Rate Tables'!C24*9)*0.02778)/5)*U100*F100*V100</f>
        <v>0</v>
      </c>
      <c r="X100" s="197">
        <f>AA91</f>
        <v>2</v>
      </c>
      <c r="Y100" s="178"/>
      <c r="Z100" s="195"/>
      <c r="AA100" s="217"/>
      <c r="AB100" s="197">
        <f>IF(X100&lt;0,X100*0,1)*X100</f>
        <v>2</v>
      </c>
      <c r="AC100" s="203">
        <f>Q100-(U100*V100)</f>
        <v>0</v>
      </c>
      <c r="AD100" s="178"/>
      <c r="AE100" s="191">
        <f>AE91</f>
        <v>1</v>
      </c>
      <c r="AF100" s="212">
        <f>VLOOKUP(AF91,'Lookup Tables'!$AB$22:$AC$31,2,FALSE)</f>
        <v>32</v>
      </c>
      <c r="AG100" s="213">
        <f>VLOOKUP(AQ91,'Lookup Tables'!$AB$32:$AC$41,2,FALSE)</f>
        <v>0</v>
      </c>
      <c r="AH100" s="208">
        <f>AC100-AG100</f>
        <v>0</v>
      </c>
      <c r="AI100" s="178">
        <f>IF(AH100&gt;0,1,0)</f>
        <v>0</v>
      </c>
      <c r="AJ100" s="196">
        <f>((('Rate Tables'!D24*9)*0.02778)/5)*AH100*AI100*F100</f>
        <v>0</v>
      </c>
      <c r="AK100" s="197">
        <f>AL91</f>
        <v>0</v>
      </c>
      <c r="AL100" s="217"/>
      <c r="AM100" s="197">
        <f>IF(AK100&lt;0,AK100*0,1)*AK100</f>
        <v>0</v>
      </c>
      <c r="AN100" s="203">
        <f>AC100-(AH100*AI100)</f>
        <v>0</v>
      </c>
      <c r="AO100" s="178"/>
      <c r="AP100" s="191">
        <f>AP91</f>
        <v>3</v>
      </c>
      <c r="AQ100" s="212">
        <f>VLOOKUP(AQ91,'Lookup Tables'!$AB$22:$AC$31,2,FALSE)</f>
        <v>0</v>
      </c>
      <c r="AR100" s="213">
        <v>0</v>
      </c>
      <c r="AS100" s="208">
        <f>AN100-AR100</f>
        <v>0</v>
      </c>
      <c r="AT100" s="178">
        <f>IF(AS100&gt;0,1,0)</f>
        <v>0</v>
      </c>
      <c r="AU100" s="196">
        <f>((('Rate Tables'!E24*9)*0.02778)/5)*AS100*AT100*F100</f>
        <v>0</v>
      </c>
      <c r="AV100" s="197">
        <f>AW91</f>
        <v>0</v>
      </c>
      <c r="AW100" s="217"/>
      <c r="AX100" s="197"/>
      <c r="AY100" s="197"/>
      <c r="AZ100" s="178"/>
      <c r="BA100" s="308">
        <f>BB97</f>
        <v>0</v>
      </c>
      <c r="BB100" s="225"/>
      <c r="BC100" s="227"/>
      <c r="BD100" s="275"/>
      <c r="BE100" s="12" t="s">
        <v>418</v>
      </c>
    </row>
    <row r="101" spans="1:59" ht="13.5" customHeight="1" x14ac:dyDescent="0.25">
      <c r="A101" s="296"/>
      <c r="B101" s="116"/>
      <c r="C101" s="117" t="s">
        <v>597</v>
      </c>
      <c r="D101" s="178"/>
      <c r="E101" s="153" t="s">
        <v>84</v>
      </c>
      <c r="F101" s="153" t="s">
        <v>42</v>
      </c>
      <c r="G101" s="153" t="s">
        <v>41</v>
      </c>
      <c r="H101" s="183" t="s">
        <v>77</v>
      </c>
      <c r="I101" s="209" t="s">
        <v>105</v>
      </c>
      <c r="J101" s="210" t="s">
        <v>106</v>
      </c>
      <c r="K101" s="153" t="s">
        <v>99</v>
      </c>
      <c r="L101" s="153" t="s">
        <v>100</v>
      </c>
      <c r="M101" s="153" t="s">
        <v>82</v>
      </c>
      <c r="N101" s="153" t="s">
        <v>32</v>
      </c>
      <c r="O101" s="135" t="s">
        <v>69</v>
      </c>
      <c r="P101" s="153" t="s">
        <v>72</v>
      </c>
      <c r="Q101" s="153" t="s">
        <v>103</v>
      </c>
      <c r="R101" s="183" t="s">
        <v>77</v>
      </c>
      <c r="S101" s="209" t="s">
        <v>105</v>
      </c>
      <c r="T101" s="210" t="s">
        <v>106</v>
      </c>
      <c r="U101" s="178" t="s">
        <v>98</v>
      </c>
      <c r="V101" s="153" t="s">
        <v>100</v>
      </c>
      <c r="W101" s="153" t="s">
        <v>33</v>
      </c>
      <c r="X101" s="153" t="s">
        <v>69</v>
      </c>
      <c r="Y101" s="153"/>
      <c r="Z101" s="153"/>
      <c r="AA101" s="217"/>
      <c r="AB101" s="153" t="s">
        <v>72</v>
      </c>
      <c r="AC101" s="153" t="s">
        <v>104</v>
      </c>
      <c r="AD101" s="153"/>
      <c r="AE101" s="183" t="s">
        <v>77</v>
      </c>
      <c r="AF101" s="209" t="s">
        <v>105</v>
      </c>
      <c r="AG101" s="210" t="s">
        <v>106</v>
      </c>
      <c r="AH101" s="178" t="s">
        <v>98</v>
      </c>
      <c r="AI101" s="153" t="s">
        <v>100</v>
      </c>
      <c r="AJ101" s="153" t="s">
        <v>34</v>
      </c>
      <c r="AK101" s="153" t="s">
        <v>69</v>
      </c>
      <c r="AL101" s="217"/>
      <c r="AM101" s="153" t="s">
        <v>72</v>
      </c>
      <c r="AN101" s="153" t="s">
        <v>104</v>
      </c>
      <c r="AO101" s="153"/>
      <c r="AP101" s="183" t="s">
        <v>77</v>
      </c>
      <c r="AQ101" s="209" t="s">
        <v>105</v>
      </c>
      <c r="AR101" s="210" t="s">
        <v>106</v>
      </c>
      <c r="AS101" s="178" t="s">
        <v>98</v>
      </c>
      <c r="AT101" s="153" t="s">
        <v>100</v>
      </c>
      <c r="AU101" s="153" t="s">
        <v>34</v>
      </c>
      <c r="AV101" s="153" t="s">
        <v>69</v>
      </c>
      <c r="AW101" s="217"/>
      <c r="AX101" s="178"/>
      <c r="AY101" s="178"/>
      <c r="AZ101" s="178"/>
      <c r="BA101" s="227"/>
      <c r="BB101" s="224"/>
      <c r="BC101" s="227" t="s">
        <v>451</v>
      </c>
      <c r="BD101" s="275">
        <f>(VLOOKUP($B89,'Rate Tables'!$O$2:$P$8,2,FALSE))</f>
        <v>0.2697</v>
      </c>
      <c r="BE101" s="372">
        <f>VLOOKUP('F&amp;ARatesCalc'!$B$1,'F&amp;ARatesCalc'!$A$3:$B$5,2,FALSE)</f>
        <v>0.56999999999999995</v>
      </c>
    </row>
    <row r="102" spans="1:59" ht="13.5" customHeight="1" x14ac:dyDescent="0.25">
      <c r="A102" s="296"/>
      <c r="B102" s="116"/>
      <c r="C102" s="115"/>
      <c r="D102" s="178"/>
      <c r="E102" s="211">
        <f>E100</f>
        <v>0</v>
      </c>
      <c r="F102" s="190">
        <f>IF($D$4=2023,1,0)</f>
        <v>1</v>
      </c>
      <c r="G102" s="178">
        <f>IF($B97="Yes",$C$5,$I97)</f>
        <v>12</v>
      </c>
      <c r="H102" s="191">
        <f>H93</f>
        <v>3</v>
      </c>
      <c r="I102" s="212">
        <f>VLOOKUP(J93,'Lookup Tables'!$AB$22:$AC$31,2,FALSE)</f>
        <v>32</v>
      </c>
      <c r="J102" s="213">
        <f>VLOOKUP(U93,'Lookup Tables'!$AB$32:$AC$41,2,FALSE)</f>
        <v>33</v>
      </c>
      <c r="K102" s="203">
        <f>E102-J102</f>
        <v>-33</v>
      </c>
      <c r="L102" s="178">
        <f>IF(K102&gt;0,1,0)</f>
        <v>0</v>
      </c>
      <c r="M102" s="195">
        <f>M93</f>
        <v>0</v>
      </c>
      <c r="N102" s="196">
        <f>((((('Rate Tables'!C24*9)*0.02778)/5)*K102)*L102)*F102*M102</f>
        <v>0</v>
      </c>
      <c r="O102" s="215">
        <f>O93</f>
        <v>12</v>
      </c>
      <c r="P102" s="197">
        <f>IF(O102&lt;0,O102*0,1)*O102</f>
        <v>12</v>
      </c>
      <c r="Q102" s="203">
        <f>(E102-K102*F102*L102*M102)</f>
        <v>0</v>
      </c>
      <c r="R102" s="191">
        <f>S93</f>
        <v>3</v>
      </c>
      <c r="S102" s="212">
        <f>VLOOKUP(U93,'Lookup Tables'!$AB$22:$AC$31,2,FALSE)</f>
        <v>32</v>
      </c>
      <c r="T102" s="213">
        <f>VLOOKUP(AF93,'Lookup Tables'!$AB$32:$AC$41,2,FALSE)</f>
        <v>33</v>
      </c>
      <c r="U102" s="206">
        <f>Q102-T102</f>
        <v>-33</v>
      </c>
      <c r="V102" s="178">
        <f>IF(U102&gt;0,1,0)</f>
        <v>0</v>
      </c>
      <c r="W102" s="196">
        <f>((('Rate Tables'!D24*9)*0.02778)/5)*U102*F102*V102</f>
        <v>0</v>
      </c>
      <c r="X102" s="197">
        <f>AA93</f>
        <v>2</v>
      </c>
      <c r="Y102" s="178"/>
      <c r="Z102" s="195"/>
      <c r="AA102" s="217"/>
      <c r="AB102" s="197">
        <f>IF(X102&lt;0,X102*0,1)*X102</f>
        <v>2</v>
      </c>
      <c r="AC102" s="203">
        <f>Q102-(U102*V102)</f>
        <v>0</v>
      </c>
      <c r="AD102" s="178"/>
      <c r="AE102" s="191">
        <f>AE93</f>
        <v>1</v>
      </c>
      <c r="AF102" s="212">
        <f>VLOOKUP(AF93,'Lookup Tables'!$AB$22:$AC$31,2,FALSE)</f>
        <v>32</v>
      </c>
      <c r="AG102" s="213">
        <f>VLOOKUP(AQ93,'Lookup Tables'!$AB$32:$AC$41,2,FALSE)</f>
        <v>0</v>
      </c>
      <c r="AH102" s="208">
        <f>AC102-AG102</f>
        <v>0</v>
      </c>
      <c r="AI102" s="178">
        <f>IF(AH102&gt;0,1,0)</f>
        <v>0</v>
      </c>
      <c r="AJ102" s="196">
        <f>((('Rate Tables'!E24*9)*0.02778)/5)*AH102*AI102*F102</f>
        <v>0</v>
      </c>
      <c r="AK102" s="197">
        <f>AL93</f>
        <v>0</v>
      </c>
      <c r="AL102" s="217"/>
      <c r="AM102" s="197">
        <f>IF(AK102&lt;0,AK102*0,1)*AK102</f>
        <v>0</v>
      </c>
      <c r="AN102" s="203">
        <f>AC102-(AH102*AI102)</f>
        <v>0</v>
      </c>
      <c r="AO102" s="178"/>
      <c r="AP102" s="191">
        <f>AP93</f>
        <v>3</v>
      </c>
      <c r="AQ102" s="212">
        <f>VLOOKUP(AQ93,'Lookup Tables'!$AB$22:$AC$31,2,FALSE)</f>
        <v>0</v>
      </c>
      <c r="AR102" s="213">
        <v>0</v>
      </c>
      <c r="AS102" s="208">
        <f>AN102-AR102</f>
        <v>0</v>
      </c>
      <c r="AT102" s="178">
        <f>IF(AS102&gt;0,1,0)</f>
        <v>0</v>
      </c>
      <c r="AU102" s="196">
        <f>((('Rate Tables'!F24*9)*0.02778)/5)*AS102*AT102*F102</f>
        <v>0</v>
      </c>
      <c r="AV102" s="197">
        <f>AW93</f>
        <v>0</v>
      </c>
      <c r="AW102" s="217"/>
      <c r="AX102" s="178"/>
      <c r="AY102" s="178"/>
      <c r="AZ102" s="178"/>
      <c r="BA102" s="227"/>
      <c r="BB102" s="12"/>
      <c r="BC102" s="227" t="s">
        <v>452</v>
      </c>
      <c r="BD102" s="275">
        <f>_xlfn.IFNA(BD101,0)</f>
        <v>0.2697</v>
      </c>
      <c r="BE102" s="12" t="s">
        <v>417</v>
      </c>
    </row>
    <row r="103" spans="1:59" ht="13.5" customHeight="1" x14ac:dyDescent="0.25">
      <c r="A103" s="296"/>
      <c r="B103" s="116"/>
      <c r="C103" s="117" t="s">
        <v>664</v>
      </c>
      <c r="D103" s="178"/>
      <c r="E103" s="153" t="s">
        <v>84</v>
      </c>
      <c r="F103" s="153" t="s">
        <v>42</v>
      </c>
      <c r="G103" s="153" t="s">
        <v>41</v>
      </c>
      <c r="H103" s="183" t="s">
        <v>77</v>
      </c>
      <c r="I103" s="209" t="s">
        <v>105</v>
      </c>
      <c r="J103" s="210" t="s">
        <v>106</v>
      </c>
      <c r="K103" s="153" t="s">
        <v>99</v>
      </c>
      <c r="L103" s="153" t="s">
        <v>100</v>
      </c>
      <c r="M103" s="153" t="s">
        <v>82</v>
      </c>
      <c r="N103" s="153" t="s">
        <v>32</v>
      </c>
      <c r="O103" s="135" t="s">
        <v>69</v>
      </c>
      <c r="P103" s="153" t="s">
        <v>72</v>
      </c>
      <c r="Q103" s="153" t="s">
        <v>103</v>
      </c>
      <c r="R103" s="183" t="s">
        <v>77</v>
      </c>
      <c r="S103" s="209" t="s">
        <v>105</v>
      </c>
      <c r="T103" s="210" t="s">
        <v>106</v>
      </c>
      <c r="U103" s="178" t="s">
        <v>98</v>
      </c>
      <c r="V103" s="153" t="s">
        <v>100</v>
      </c>
      <c r="W103" s="153" t="s">
        <v>33</v>
      </c>
      <c r="X103" s="153" t="s">
        <v>69</v>
      </c>
      <c r="Y103" s="153"/>
      <c r="Z103" s="153"/>
      <c r="AA103" s="217"/>
      <c r="AB103" s="153" t="s">
        <v>72</v>
      </c>
      <c r="AC103" s="153" t="s">
        <v>104</v>
      </c>
      <c r="AD103" s="153"/>
      <c r="AE103" s="183" t="s">
        <v>77</v>
      </c>
      <c r="AF103" s="209" t="s">
        <v>105</v>
      </c>
      <c r="AG103" s="210" t="s">
        <v>106</v>
      </c>
      <c r="AH103" s="178" t="s">
        <v>98</v>
      </c>
      <c r="AI103" s="153" t="s">
        <v>100</v>
      </c>
      <c r="AJ103" s="153" t="s">
        <v>34</v>
      </c>
      <c r="AK103" s="153" t="s">
        <v>69</v>
      </c>
      <c r="AL103" s="217"/>
      <c r="AM103" s="153" t="s">
        <v>72</v>
      </c>
      <c r="AN103" s="153" t="s">
        <v>104</v>
      </c>
      <c r="AO103" s="153"/>
      <c r="AP103" s="183" t="s">
        <v>77</v>
      </c>
      <c r="AQ103" s="209" t="s">
        <v>105</v>
      </c>
      <c r="AR103" s="210" t="s">
        <v>106</v>
      </c>
      <c r="AS103" s="178" t="s">
        <v>98</v>
      </c>
      <c r="AT103" s="153" t="s">
        <v>100</v>
      </c>
      <c r="AU103" s="153" t="s">
        <v>34</v>
      </c>
      <c r="AV103" s="153" t="s">
        <v>69</v>
      </c>
      <c r="AW103" s="178"/>
      <c r="AX103" s="178"/>
      <c r="AY103" s="178"/>
      <c r="AZ103" s="178"/>
      <c r="BA103" s="227"/>
      <c r="BB103" s="12"/>
      <c r="BC103" s="227"/>
      <c r="BD103" s="275"/>
      <c r="BE103" s="12"/>
    </row>
    <row r="104" spans="1:59" ht="13.5" customHeight="1" x14ac:dyDescent="0.25">
      <c r="A104" s="296"/>
      <c r="B104" s="116"/>
      <c r="C104" s="115"/>
      <c r="D104" s="178"/>
      <c r="E104" s="211">
        <f>E102</f>
        <v>0</v>
      </c>
      <c r="F104" s="190">
        <f>IF($D$4=2024,1,0)</f>
        <v>0</v>
      </c>
      <c r="G104" s="178">
        <f>IF($B97="Yes",$C$5,$I97)</f>
        <v>12</v>
      </c>
      <c r="H104" s="191">
        <f>H95</f>
        <v>3</v>
      </c>
      <c r="I104" s="212">
        <f>VLOOKUP(J95,'Lookup Tables'!$AB$22:$AC$31,2,FALSE)</f>
        <v>32</v>
      </c>
      <c r="J104" s="213">
        <f>VLOOKUP(U95,'Lookup Tables'!$AB$32:$AC$41,2,FALSE)</f>
        <v>33</v>
      </c>
      <c r="K104" s="203">
        <f>E104-J104</f>
        <v>-33</v>
      </c>
      <c r="L104" s="178">
        <f>IF(K104&gt;0,1,0)</f>
        <v>0</v>
      </c>
      <c r="M104" s="195">
        <f>M95</f>
        <v>0</v>
      </c>
      <c r="N104" s="196">
        <f>((((('Rate Tables'!D24*9)*0.02778)/5)*K104)*L104)*F104*M104</f>
        <v>0</v>
      </c>
      <c r="O104" s="215">
        <f>O95</f>
        <v>12</v>
      </c>
      <c r="P104" s="197">
        <f>IF(O104&lt;0,O104*0,1)*O104</f>
        <v>12</v>
      </c>
      <c r="Q104" s="203">
        <f>(E104-K104*F104*L104*M104)</f>
        <v>0</v>
      </c>
      <c r="R104" s="191">
        <f>S95</f>
        <v>3</v>
      </c>
      <c r="S104" s="212">
        <f>VLOOKUP(U95,'Lookup Tables'!$AB$22:$AC$31,2,FALSE)</f>
        <v>32</v>
      </c>
      <c r="T104" s="213">
        <f>VLOOKUP(AF95,'Lookup Tables'!$AB$32:$AC$41,2,FALSE)</f>
        <v>33</v>
      </c>
      <c r="U104" s="206">
        <f>Q104-T104</f>
        <v>-33</v>
      </c>
      <c r="V104" s="178">
        <f>IF(U104&gt;0,1,0)</f>
        <v>0</v>
      </c>
      <c r="W104" s="196">
        <f>((('Rate Tables'!E24*9)*0.02778)/5)*U104*F104*V104</f>
        <v>0</v>
      </c>
      <c r="X104" s="197">
        <f>AA95</f>
        <v>2</v>
      </c>
      <c r="Y104" s="178"/>
      <c r="Z104" s="195"/>
      <c r="AA104" s="217"/>
      <c r="AB104" s="197">
        <f>IF(X104&lt;0,X104*0,1)*X104</f>
        <v>2</v>
      </c>
      <c r="AC104" s="203">
        <f>Q104-(U104*V104)</f>
        <v>0</v>
      </c>
      <c r="AD104" s="178"/>
      <c r="AE104" s="191">
        <f>AE95</f>
        <v>1</v>
      </c>
      <c r="AF104" s="212">
        <f>VLOOKUP(AF95,'Lookup Tables'!$AB$22:$AC$31,2,FALSE)</f>
        <v>32</v>
      </c>
      <c r="AG104" s="213">
        <f>VLOOKUP(AQ95,'Lookup Tables'!$AB$32:$AC$41,2,FALSE)</f>
        <v>0</v>
      </c>
      <c r="AH104" s="208">
        <f>AC104-AG104</f>
        <v>0</v>
      </c>
      <c r="AI104" s="178">
        <f>IF(AH104&gt;0,1,0)</f>
        <v>0</v>
      </c>
      <c r="AJ104" s="196">
        <f>((('Rate Tables'!F24*9)*0.02778)/5)*AH104*AI104*F104</f>
        <v>0</v>
      </c>
      <c r="AK104" s="197">
        <f>AL95</f>
        <v>0</v>
      </c>
      <c r="AL104" s="217"/>
      <c r="AM104" s="197">
        <f>IF(AK104&lt;0,AK104*0,1)*AK104</f>
        <v>0</v>
      </c>
      <c r="AN104" s="203">
        <f>AC104-(AH104*AI104)</f>
        <v>0</v>
      </c>
      <c r="AO104" s="178"/>
      <c r="AP104" s="191">
        <f>AP95</f>
        <v>3</v>
      </c>
      <c r="AQ104" s="212">
        <f>VLOOKUP(AQ95,'Lookup Tables'!$AB$22:$AC$31,2,FALSE)</f>
        <v>0</v>
      </c>
      <c r="AR104" s="213">
        <v>0</v>
      </c>
      <c r="AS104" s="208">
        <f>AN104-AR104</f>
        <v>0</v>
      </c>
      <c r="AT104" s="178">
        <f>IF(AS104&gt;0,1,0)</f>
        <v>0</v>
      </c>
      <c r="AU104" s="196">
        <f>((('Rate Tables'!G24*9)*0.02778)/5)*AS104*AT104*F104</f>
        <v>0</v>
      </c>
      <c r="AV104" s="197">
        <f>AW95</f>
        <v>0</v>
      </c>
      <c r="AW104" s="178"/>
      <c r="AX104" s="178"/>
      <c r="AY104" s="178"/>
      <c r="AZ104" s="178"/>
      <c r="BA104" s="227"/>
      <c r="BB104" s="12"/>
      <c r="BC104" s="227"/>
      <c r="BD104" s="275"/>
      <c r="BE104" s="12"/>
    </row>
    <row r="105" spans="1:59" ht="13.5" customHeight="1" thickBot="1" x14ac:dyDescent="0.3">
      <c r="A105" s="296"/>
      <c r="B105" s="116"/>
      <c r="C105" s="114"/>
      <c r="D105" s="178"/>
      <c r="E105" s="178"/>
      <c r="F105" s="178"/>
      <c r="G105" s="491" t="s">
        <v>559</v>
      </c>
      <c r="H105" s="178">
        <f>BA100</f>
        <v>0</v>
      </c>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307"/>
      <c r="BB105" s="12"/>
      <c r="BC105" s="227" t="s">
        <v>453</v>
      </c>
      <c r="BD105" s="275">
        <f>IF(BD102=0,0,BD101)</f>
        <v>0.2697</v>
      </c>
      <c r="BE105" s="12">
        <f>(BD98+BD106)*BE101</f>
        <v>0</v>
      </c>
    </row>
    <row r="106" spans="1:59" ht="13.5" customHeight="1" thickBot="1" x14ac:dyDescent="0.3">
      <c r="A106" s="380">
        <f>Personnel!M34</f>
        <v>0</v>
      </c>
      <c r="B106" s="273">
        <f>Personnel!M41</f>
        <v>0</v>
      </c>
      <c r="C106" s="114"/>
      <c r="D106" s="178"/>
      <c r="E106" s="178"/>
      <c r="F106" s="178"/>
      <c r="G106" s="491" t="s">
        <v>560</v>
      </c>
      <c r="H106" s="178">
        <f>VLOOKUP(H100,'Lookup Tables'!$L$62:$Y$74,MATCH(G100,'Lookup Tables'!$L$62:$Y$62,FALSE))</f>
        <v>65</v>
      </c>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309"/>
      <c r="BB106" s="274"/>
      <c r="BC106" s="278" t="s">
        <v>415</v>
      </c>
      <c r="BD106" s="279">
        <f>BD98*BD105</f>
        <v>0</v>
      </c>
      <c r="BE106" s="373">
        <f>BD98+BD106+BE105</f>
        <v>0</v>
      </c>
    </row>
    <row r="107" spans="1:59" ht="14.25" customHeight="1" x14ac:dyDescent="0.25">
      <c r="C107" s="114"/>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178"/>
      <c r="BA107" s="227"/>
      <c r="BB107" s="12"/>
      <c r="BC107" s="12"/>
      <c r="BD107" s="275"/>
      <c r="BE107" s="391"/>
    </row>
    <row r="108" spans="1:59" ht="6" customHeight="1" thickBot="1" x14ac:dyDescent="0.3">
      <c r="A108" s="393"/>
      <c r="B108" s="295"/>
      <c r="C108" s="291"/>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280"/>
      <c r="BB108" s="149"/>
      <c r="BC108" s="149"/>
      <c r="BD108" s="149"/>
      <c r="BE108" s="149"/>
    </row>
    <row r="109" spans="1:59" ht="19.5" thickBot="1" x14ac:dyDescent="0.35">
      <c r="A109" s="394" t="s">
        <v>333</v>
      </c>
      <c r="B109" s="395"/>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607"/>
      <c r="AA109" s="607"/>
      <c r="AB109" s="395"/>
      <c r="AC109" s="395"/>
      <c r="AD109" s="395"/>
      <c r="AE109" s="395"/>
      <c r="AF109" s="395"/>
      <c r="AG109" s="395"/>
      <c r="AH109" s="395"/>
      <c r="AI109" s="395"/>
      <c r="AJ109" s="395"/>
      <c r="AK109" s="395"/>
      <c r="AL109" s="395"/>
      <c r="AM109" s="395"/>
      <c r="AN109" s="395"/>
      <c r="AO109" s="395"/>
      <c r="AP109" s="395"/>
      <c r="AQ109" s="395"/>
      <c r="AR109" s="395"/>
      <c r="AS109" s="395"/>
      <c r="AT109" s="395"/>
      <c r="AU109" s="395"/>
      <c r="AV109" s="395"/>
      <c r="AW109" s="395"/>
      <c r="AX109" s="395"/>
      <c r="AY109" s="395"/>
      <c r="AZ109" s="395"/>
      <c r="BA109" s="396"/>
      <c r="BB109" s="395"/>
      <c r="BC109" s="395"/>
      <c r="BD109" s="395"/>
      <c r="BE109" s="392"/>
    </row>
    <row r="110" spans="1:59" ht="14.25" customHeight="1" x14ac:dyDescent="0.25">
      <c r="A110" s="298" t="s">
        <v>174</v>
      </c>
      <c r="B110" s="294" t="s">
        <v>59</v>
      </c>
      <c r="C110" s="180" t="s">
        <v>606</v>
      </c>
      <c r="D110" s="179"/>
      <c r="E110" s="218"/>
      <c r="F110" s="218"/>
      <c r="G110" s="181"/>
      <c r="H110" s="181"/>
      <c r="I110" s="181"/>
      <c r="J110" s="181"/>
      <c r="K110" s="181"/>
      <c r="L110" s="181"/>
      <c r="M110" s="181"/>
      <c r="N110" s="679">
        <v>44013</v>
      </c>
      <c r="O110" s="696">
        <v>44377</v>
      </c>
      <c r="P110" s="181"/>
      <c r="Q110" s="181"/>
      <c r="R110" s="181"/>
      <c r="S110" s="181"/>
      <c r="T110" s="181"/>
      <c r="U110" s="181"/>
      <c r="V110" s="181"/>
      <c r="W110" s="181"/>
      <c r="X110" s="181"/>
      <c r="Y110" s="181"/>
      <c r="Z110" s="493">
        <v>44378</v>
      </c>
      <c r="AA110" s="696">
        <v>44742</v>
      </c>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282"/>
      <c r="BB110" s="144"/>
      <c r="BC110" s="144"/>
      <c r="BD110" s="283"/>
      <c r="BE110" s="12"/>
      <c r="BG110" s="313"/>
    </row>
    <row r="111" spans="1:59" ht="14.25" customHeight="1" x14ac:dyDescent="0.25">
      <c r="A111" s="345">
        <f>Personnel!C40</f>
        <v>0</v>
      </c>
      <c r="B111" s="346" t="str">
        <f>Personnel!C39</f>
        <v>Prof/Admin</v>
      </c>
      <c r="C111" s="347">
        <f>Personnel!C41</f>
        <v>0</v>
      </c>
      <c r="D111" s="188"/>
      <c r="E111" s="205"/>
      <c r="F111" s="205"/>
      <c r="G111" s="178"/>
      <c r="H111" s="178"/>
      <c r="I111" s="178"/>
      <c r="J111" s="178"/>
      <c r="K111" s="178"/>
      <c r="L111" s="178"/>
      <c r="M111" s="178"/>
      <c r="N111" s="178"/>
      <c r="O111" s="217"/>
      <c r="P111" s="178"/>
      <c r="Q111" s="178"/>
      <c r="R111" s="178"/>
      <c r="S111" s="178"/>
      <c r="T111" s="178"/>
      <c r="U111" s="178"/>
      <c r="V111" s="178"/>
      <c r="W111" s="178"/>
      <c r="X111" s="178"/>
      <c r="Y111" s="178"/>
      <c r="Z111" s="178"/>
      <c r="AA111" s="217"/>
      <c r="AB111" s="178"/>
      <c r="AC111" s="178"/>
      <c r="AD111" s="178"/>
      <c r="AE111" s="178"/>
      <c r="AF111" s="178"/>
      <c r="AG111" s="178"/>
      <c r="AH111" s="178"/>
      <c r="AI111" s="178"/>
      <c r="AJ111" s="178"/>
      <c r="AK111" s="493">
        <v>44743</v>
      </c>
      <c r="AL111" s="698">
        <v>45107</v>
      </c>
      <c r="AM111" s="178"/>
      <c r="AN111" s="178"/>
      <c r="AO111" s="178"/>
      <c r="AP111" s="178"/>
      <c r="AQ111" s="178"/>
      <c r="AR111" s="178"/>
      <c r="AS111" s="178"/>
      <c r="AT111" s="178"/>
      <c r="AU111" s="178"/>
      <c r="AV111" s="178"/>
      <c r="AW111" s="178"/>
      <c r="AX111" s="493">
        <v>45108</v>
      </c>
      <c r="AY111" s="493">
        <v>45473</v>
      </c>
      <c r="AZ111" s="178"/>
      <c r="BA111" s="278" t="s">
        <v>171</v>
      </c>
      <c r="BB111" s="348">
        <f>Personnel!O39</f>
        <v>0.1</v>
      </c>
      <c r="BC111" s="278" t="s">
        <v>96</v>
      </c>
      <c r="BD111" s="279">
        <f>(M113+W113+AI113+AT113+M115+W115+AI115+AT115+M117+W117+AI117+AT117)*BB114</f>
        <v>0</v>
      </c>
      <c r="BE111" s="369"/>
      <c r="BG111" s="313"/>
    </row>
    <row r="112" spans="1:59" ht="14.25" customHeight="1" x14ac:dyDescent="0.25">
      <c r="A112" s="296"/>
      <c r="B112" s="12"/>
      <c r="C112" s="117" t="s">
        <v>30</v>
      </c>
      <c r="D112" s="182"/>
      <c r="E112" s="153"/>
      <c r="F112" s="153" t="s">
        <v>42</v>
      </c>
      <c r="G112" s="153" t="s">
        <v>598</v>
      </c>
      <c r="H112" s="183" t="s">
        <v>77</v>
      </c>
      <c r="I112" s="219" t="s">
        <v>51</v>
      </c>
      <c r="J112" s="153" t="s">
        <v>52</v>
      </c>
      <c r="K112" s="153" t="s">
        <v>35</v>
      </c>
      <c r="L112" s="153" t="s">
        <v>82</v>
      </c>
      <c r="M112" s="153" t="s">
        <v>31</v>
      </c>
      <c r="N112" s="153" t="s">
        <v>69</v>
      </c>
      <c r="O112" s="217"/>
      <c r="P112" s="153" t="s">
        <v>72</v>
      </c>
      <c r="Q112" s="183" t="s">
        <v>80</v>
      </c>
      <c r="R112" s="187" t="s">
        <v>81</v>
      </c>
      <c r="S112" s="183" t="s">
        <v>77</v>
      </c>
      <c r="T112" s="673" t="s">
        <v>107</v>
      </c>
      <c r="U112" s="153" t="s">
        <v>53</v>
      </c>
      <c r="V112" s="153" t="s">
        <v>82</v>
      </c>
      <c r="W112" s="153" t="s">
        <v>32</v>
      </c>
      <c r="X112" s="153" t="s">
        <v>69</v>
      </c>
      <c r="Y112" s="178"/>
      <c r="Z112" s="178"/>
      <c r="AA112" s="217"/>
      <c r="AB112" s="153" t="s">
        <v>72</v>
      </c>
      <c r="AC112" s="153" t="s">
        <v>80</v>
      </c>
      <c r="AD112" s="187" t="s">
        <v>81</v>
      </c>
      <c r="AE112" s="183" t="s">
        <v>77</v>
      </c>
      <c r="AF112" s="220" t="s">
        <v>107</v>
      </c>
      <c r="AG112" s="153" t="s">
        <v>78</v>
      </c>
      <c r="AH112" s="153" t="s">
        <v>82</v>
      </c>
      <c r="AI112" s="153" t="s">
        <v>33</v>
      </c>
      <c r="AJ112" s="153" t="s">
        <v>69</v>
      </c>
      <c r="AK112" s="178"/>
      <c r="AL112" s="217"/>
      <c r="AM112" s="153" t="s">
        <v>72</v>
      </c>
      <c r="AN112" s="153" t="s">
        <v>80</v>
      </c>
      <c r="AO112" s="187" t="s">
        <v>81</v>
      </c>
      <c r="AP112" s="183" t="s">
        <v>77</v>
      </c>
      <c r="AQ112" s="220" t="s">
        <v>107</v>
      </c>
      <c r="AR112" s="153" t="s">
        <v>78</v>
      </c>
      <c r="AS112" s="153" t="s">
        <v>82</v>
      </c>
      <c r="AT112" s="153" t="s">
        <v>33</v>
      </c>
      <c r="AU112" s="153" t="s">
        <v>69</v>
      </c>
      <c r="AV112" s="153"/>
      <c r="AW112" s="153"/>
      <c r="AX112" s="153"/>
      <c r="AY112" s="153"/>
      <c r="AZ112" s="178"/>
      <c r="BA112" s="227"/>
      <c r="BB112" s="12"/>
      <c r="BC112" s="227"/>
      <c r="BD112" s="275"/>
      <c r="BE112" s="12" t="s">
        <v>418</v>
      </c>
    </row>
    <row r="113" spans="1:59" ht="14.25" customHeight="1" x14ac:dyDescent="0.25">
      <c r="A113" s="296"/>
      <c r="B113" s="12"/>
      <c r="C113" s="115"/>
      <c r="D113" s="188"/>
      <c r="E113" s="221">
        <f>BB$111</f>
        <v>0.1</v>
      </c>
      <c r="F113" s="190">
        <f>IF($D$4=2022,1,0)</f>
        <v>0</v>
      </c>
      <c r="G113" s="178">
        <f>IF($B118="Yes",$C$5,$I119)</f>
        <v>12</v>
      </c>
      <c r="H113" s="191">
        <f>VLOOKUP(H118,'Lookup Tables'!$A$22:$B$33,2,FALSE)</f>
        <v>3</v>
      </c>
      <c r="I113" s="192">
        <f>VLOOKUP($E$4,'Lookup Tables'!$AB$46:$AN$58,MATCH($H113,'Lookup Tables'!$AB$46:$AN$46),FALSE)</f>
        <v>12</v>
      </c>
      <c r="J113" s="190">
        <f>12-I113</f>
        <v>0</v>
      </c>
      <c r="K113" s="190">
        <f>IF(G113&lt;J113,G113,J113)</f>
        <v>0</v>
      </c>
      <c r="L113" s="195">
        <f>IF(12-I113&gt;=1,1,0)</f>
        <v>0</v>
      </c>
      <c r="M113" s="202">
        <f>((('Rate Tables'!$B29*$E113)*PersonCalcYr2!$K113)*L113)*$F113</f>
        <v>0</v>
      </c>
      <c r="N113" s="197">
        <f>G113-(J113*L113)</f>
        <v>12</v>
      </c>
      <c r="O113" s="217"/>
      <c r="P113" s="197">
        <f>IF(N113&lt;0,N113*0,1)*N113</f>
        <v>12</v>
      </c>
      <c r="Q113" s="198">
        <f>VLOOKUP(H118,'Lookup Tables'!$A$22:$B$33,2,FALSE)+(K113*L113)</f>
        <v>3</v>
      </c>
      <c r="R113" s="199" t="str">
        <f>VLOOKUP(Q113,'Lookup Tables'!$A$38:$B$151,2,FALSE)</f>
        <v>Sept</v>
      </c>
      <c r="S113" s="191">
        <f>VLOOKUP(R113,'Lookup Tables'!$A$22:$B$33,2,FALSE)</f>
        <v>3</v>
      </c>
      <c r="T113" s="672">
        <f>VLOOKUP($E$4,'Lookup Tables'!$AQ$46:$BC$58,MATCH(PersonCalcYr2!$S113,'Lookup Tables'!$AQ$46:$BC$46),FALSE)</f>
        <v>10</v>
      </c>
      <c r="U113" s="190">
        <f>IF(P113&lt;T113,P113,T113)</f>
        <v>10</v>
      </c>
      <c r="V113" s="195">
        <f>IF((U113)&lt;=0,0,1)</f>
        <v>1</v>
      </c>
      <c r="W113" s="202">
        <f>(('Rate Tables'!$C29*$E113)*PersonCalcYr2!$U113)*$V113*$F113</f>
        <v>0</v>
      </c>
      <c r="X113" s="197">
        <f>P113-(U113*V113)</f>
        <v>2</v>
      </c>
      <c r="Y113" s="178"/>
      <c r="Z113" s="178"/>
      <c r="AA113" s="217"/>
      <c r="AB113" s="197">
        <f>IF(X113&lt;0,X113*0,1)*X113</f>
        <v>2</v>
      </c>
      <c r="AC113" s="203">
        <f>S113+(U113*V113)</f>
        <v>13</v>
      </c>
      <c r="AD113" s="199" t="str">
        <f>VLOOKUP(AC113,'Lookup Tables'!$A$38:$B$151,2,FALSE)</f>
        <v>July</v>
      </c>
      <c r="AE113" s="191">
        <f>VLOOKUP(AD113,'Lookup Tables'!$A$22:$B$33,2,FALSE)</f>
        <v>1</v>
      </c>
      <c r="AF113" s="222">
        <f>VLOOKUP($AE113,'Lookup Tables'!$AC$3:$AW$16,MATCH(PersonCalcYr2!$AB113,'Lookup Tables'!$AC$3:$AW$3),FALSE)</f>
        <v>2</v>
      </c>
      <c r="AG113" s="190">
        <f>IF(AB113&lt;AF113,AB113,AF113)</f>
        <v>2</v>
      </c>
      <c r="AH113" s="195">
        <f>IF((AG113)&lt;=0,0,1)</f>
        <v>1</v>
      </c>
      <c r="AI113" s="202">
        <f>(('Rate Tables'!$D29*$E113)*PersonCalcYr2!AG113)*AH113*$F113</f>
        <v>0</v>
      </c>
      <c r="AJ113" s="197">
        <f>AB113-(AG113*AH113)</f>
        <v>0</v>
      </c>
      <c r="AK113" s="178"/>
      <c r="AL113" s="217"/>
      <c r="AM113" s="197">
        <f>IF(AJ113&lt;0,AJ113*0,1)*AJ113</f>
        <v>0</v>
      </c>
      <c r="AN113" s="203">
        <f>AE113+(AG113*AH113)</f>
        <v>3</v>
      </c>
      <c r="AO113" s="199" t="str">
        <f>VLOOKUP(AN113,'Lookup Tables'!$A$38:$B$151,2,FALSE)</f>
        <v>Sept</v>
      </c>
      <c r="AP113" s="191">
        <f>VLOOKUP(AO113,'Lookup Tables'!$A$22:$B$33,2,FALSE)</f>
        <v>3</v>
      </c>
      <c r="AQ113" s="222">
        <f>VLOOKUP($AP113,'Lookup Tables'!$AC$3:$AW$16,MATCH(PersonCalcYr2!$AM113,'Lookup Tables'!$AC$3:$AW$3),FALSE)</f>
        <v>0</v>
      </c>
      <c r="AR113" s="190">
        <f>IF(AM113&lt;AQ113,AM113,AQ113)</f>
        <v>0</v>
      </c>
      <c r="AS113" s="195">
        <f>IF((AR113)&lt;=0,0,1)</f>
        <v>0</v>
      </c>
      <c r="AT113" s="202">
        <f>(('Rate Tables'!$E29*$E113)*PersonCalcYr2!AR113)*AS113*$F113</f>
        <v>0</v>
      </c>
      <c r="AU113" s="197">
        <f>AM113-(AR113*AS113)</f>
        <v>0</v>
      </c>
      <c r="AV113" s="202"/>
      <c r="AW113" s="202"/>
      <c r="AX113" s="202"/>
      <c r="AY113" s="202"/>
      <c r="AZ113" s="178"/>
      <c r="BA113" s="227"/>
      <c r="BB113" s="12"/>
      <c r="BC113" s="227" t="s">
        <v>451</v>
      </c>
      <c r="BD113" s="275">
        <f>(VLOOKUP($B111,'Rate Tables'!$O$2:$P$8,2,FALSE))</f>
        <v>0.3226</v>
      </c>
      <c r="BE113" s="372">
        <f>VLOOKUP('F&amp;ARatesCalc'!$B$1,'F&amp;ARatesCalc'!$A$3:$B$5,2,FALSE)</f>
        <v>0.56999999999999995</v>
      </c>
    </row>
    <row r="114" spans="1:59" ht="14.25" customHeight="1" x14ac:dyDescent="0.25">
      <c r="A114" s="296"/>
      <c r="B114" s="12"/>
      <c r="C114" s="117" t="s">
        <v>597</v>
      </c>
      <c r="D114" s="182"/>
      <c r="E114" s="153"/>
      <c r="F114" s="153" t="s">
        <v>42</v>
      </c>
      <c r="G114" s="153" t="s">
        <v>598</v>
      </c>
      <c r="H114" s="183" t="s">
        <v>77</v>
      </c>
      <c r="I114" s="219" t="s">
        <v>599</v>
      </c>
      <c r="J114" s="153" t="s">
        <v>110</v>
      </c>
      <c r="K114" s="153" t="s">
        <v>53</v>
      </c>
      <c r="L114" s="153" t="s">
        <v>82</v>
      </c>
      <c r="M114" s="153" t="s">
        <v>32</v>
      </c>
      <c r="N114" s="153" t="s">
        <v>69</v>
      </c>
      <c r="O114" s="217"/>
      <c r="P114" s="153" t="s">
        <v>72</v>
      </c>
      <c r="Q114" s="183" t="s">
        <v>80</v>
      </c>
      <c r="R114" s="187" t="s">
        <v>81</v>
      </c>
      <c r="S114" s="183" t="s">
        <v>77</v>
      </c>
      <c r="T114" s="673" t="s">
        <v>107</v>
      </c>
      <c r="U114" s="153" t="s">
        <v>78</v>
      </c>
      <c r="V114" s="153" t="s">
        <v>82</v>
      </c>
      <c r="W114" s="153" t="s">
        <v>33</v>
      </c>
      <c r="X114" s="153" t="s">
        <v>69</v>
      </c>
      <c r="Y114" s="178"/>
      <c r="Z114" s="178"/>
      <c r="AA114" s="217"/>
      <c r="AB114" s="153" t="s">
        <v>72</v>
      </c>
      <c r="AC114" s="153" t="s">
        <v>80</v>
      </c>
      <c r="AD114" s="187" t="s">
        <v>81</v>
      </c>
      <c r="AE114" s="183" t="s">
        <v>77</v>
      </c>
      <c r="AF114" s="220" t="s">
        <v>107</v>
      </c>
      <c r="AG114" s="153" t="s">
        <v>79</v>
      </c>
      <c r="AH114" s="153" t="s">
        <v>82</v>
      </c>
      <c r="AI114" s="153" t="s">
        <v>34</v>
      </c>
      <c r="AJ114" s="153" t="s">
        <v>69</v>
      </c>
      <c r="AK114" s="178"/>
      <c r="AL114" s="217"/>
      <c r="AM114" s="153" t="s">
        <v>72</v>
      </c>
      <c r="AN114" s="153" t="s">
        <v>80</v>
      </c>
      <c r="AO114" s="187" t="s">
        <v>81</v>
      </c>
      <c r="AP114" s="183" t="s">
        <v>77</v>
      </c>
      <c r="AQ114" s="220" t="s">
        <v>107</v>
      </c>
      <c r="AR114" s="153" t="s">
        <v>79</v>
      </c>
      <c r="AS114" s="153" t="s">
        <v>82</v>
      </c>
      <c r="AT114" s="153" t="s">
        <v>34</v>
      </c>
      <c r="AU114" s="153" t="s">
        <v>69</v>
      </c>
      <c r="AV114" s="153"/>
      <c r="AW114" s="153"/>
      <c r="AX114" s="153"/>
      <c r="AY114" s="153"/>
      <c r="AZ114" s="178"/>
      <c r="BA114" s="307" t="s">
        <v>450</v>
      </c>
      <c r="BB114" s="349">
        <f>IF(B111=0,0,1)</f>
        <v>1</v>
      </c>
      <c r="BC114" s="227" t="s">
        <v>452</v>
      </c>
      <c r="BD114" s="275">
        <f>_xlfn.IFNA(BD113,0)</f>
        <v>0.3226</v>
      </c>
      <c r="BE114" s="12" t="s">
        <v>417</v>
      </c>
    </row>
    <row r="115" spans="1:59" ht="14.25" customHeight="1" x14ac:dyDescent="0.25">
      <c r="A115" s="296"/>
      <c r="B115" s="12"/>
      <c r="C115" s="115"/>
      <c r="D115" s="188"/>
      <c r="E115" s="221">
        <f>BB$111</f>
        <v>0.1</v>
      </c>
      <c r="F115" s="190">
        <f>IF($D$4=2023,1,0)</f>
        <v>1</v>
      </c>
      <c r="G115" s="178">
        <f>IF($B118="Yes",$C$5,$I119)</f>
        <v>12</v>
      </c>
      <c r="H115" s="191">
        <f>VLOOKUP(H118,'Lookup Tables'!$A$22:$B$33,2,FALSE)</f>
        <v>3</v>
      </c>
      <c r="I115" s="192">
        <f>VLOOKUP($E$4,'Lookup Tables'!$AB$46:$AN$58,MATCH($H115,'Lookup Tables'!$AB$46:$AN$46),FALSE)</f>
        <v>12</v>
      </c>
      <c r="J115" s="190">
        <f>12-I115</f>
        <v>0</v>
      </c>
      <c r="K115" s="190">
        <f>IF(G115&lt;J115,G115,J115)</f>
        <v>0</v>
      </c>
      <c r="L115" s="195">
        <f>IF(12-I115&gt;=1,1,0)</f>
        <v>0</v>
      </c>
      <c r="M115" s="202">
        <f>((('Rate Tables'!$C29*$E115)*PersonCalcYr2!$K115)*L115)*$F115</f>
        <v>0</v>
      </c>
      <c r="N115" s="197">
        <f>G115-(J115*L115)</f>
        <v>12</v>
      </c>
      <c r="O115" s="217"/>
      <c r="P115" s="197">
        <f>IF(N115&lt;0,N115*0,1)*N115</f>
        <v>12</v>
      </c>
      <c r="Q115" s="198">
        <f>VLOOKUP(H118,'Lookup Tables'!$A$22:$B$33,2,FALSE)+(K115*L115)</f>
        <v>3</v>
      </c>
      <c r="R115" s="199" t="str">
        <f>VLOOKUP(Q115,'Lookup Tables'!$A$38:$B$151,2,FALSE)</f>
        <v>Sept</v>
      </c>
      <c r="S115" s="191">
        <f>VLOOKUP(R115,'Lookup Tables'!$A$22:$B$33,2,FALSE)</f>
        <v>3</v>
      </c>
      <c r="T115" s="672">
        <f>VLOOKUP($E$4,'Lookup Tables'!$AQ$46:$BC$58,MATCH(PersonCalcYr2!$S115,'Lookup Tables'!$AQ$46:$BC$46),FALSE)</f>
        <v>10</v>
      </c>
      <c r="U115" s="190">
        <f>IF(P115&lt;T115,P115,T115)</f>
        <v>10</v>
      </c>
      <c r="V115" s="195">
        <f>IF((U115)&lt;=0,0,1)</f>
        <v>1</v>
      </c>
      <c r="W115" s="202">
        <f>(('Rate Tables'!$D29*$E115)*PersonCalcYr2!$U115)*$V115*$F115</f>
        <v>0</v>
      </c>
      <c r="X115" s="197">
        <f>P115-(U115*V115)</f>
        <v>2</v>
      </c>
      <c r="Y115" s="178"/>
      <c r="Z115" s="178"/>
      <c r="AA115" s="217"/>
      <c r="AB115" s="197">
        <f>IF(X115&lt;0,X115*0,1)*X115</f>
        <v>2</v>
      </c>
      <c r="AC115" s="203">
        <f>S115+(U115*V115)</f>
        <v>13</v>
      </c>
      <c r="AD115" s="199" t="str">
        <f>VLOOKUP(AC115,'Lookup Tables'!$A$38:$B$151,2,FALSE)</f>
        <v>July</v>
      </c>
      <c r="AE115" s="191">
        <f>VLOOKUP(AD115,'Lookup Tables'!$A$22:$B$33,2,FALSE)</f>
        <v>1</v>
      </c>
      <c r="AF115" s="222">
        <f>VLOOKUP($AE115,'Lookup Tables'!$AC$3:$AW$16,MATCH(PersonCalcYr2!$AB115,'Lookup Tables'!$AC$3:$AW$3),FALSE)</f>
        <v>2</v>
      </c>
      <c r="AG115" s="190">
        <f>IF(AB115&lt;AF115,AB115,AF115)</f>
        <v>2</v>
      </c>
      <c r="AH115" s="195">
        <f>IF((AG115)&lt;=0,0,1)</f>
        <v>1</v>
      </c>
      <c r="AI115" s="202">
        <f>(('Rate Tables'!$E29*$E115)*PersonCalcYr2!AG115)*AH115*$F115</f>
        <v>0</v>
      </c>
      <c r="AJ115" s="197">
        <f>AB115-(AG115*AH115)</f>
        <v>0</v>
      </c>
      <c r="AK115" s="178"/>
      <c r="AL115" s="217"/>
      <c r="AM115" s="197">
        <f>IF(AJ115&lt;0,AJ115*0,1)*AJ115</f>
        <v>0</v>
      </c>
      <c r="AN115" s="203">
        <f>AE115+(AG115*AH115)</f>
        <v>3</v>
      </c>
      <c r="AO115" s="199" t="str">
        <f>VLOOKUP(AN115,'Lookup Tables'!$A$38:$B$151,2,FALSE)</f>
        <v>Sept</v>
      </c>
      <c r="AP115" s="191">
        <f>VLOOKUP(AO115,'Lookup Tables'!$A$22:$B$33,2,FALSE)</f>
        <v>3</v>
      </c>
      <c r="AQ115" s="222">
        <f>VLOOKUP($AP115,'Lookup Tables'!$AC$3:$AW$16,MATCH(PersonCalcYr2!$AM115,'Lookup Tables'!$AC$3:$AW$3),FALSE)</f>
        <v>0</v>
      </c>
      <c r="AR115" s="190">
        <f>IF(AM115&lt;AQ115,AM115,AQ115)</f>
        <v>0</v>
      </c>
      <c r="AS115" s="195">
        <f>IF((AR115)&lt;=0,0,1)</f>
        <v>0</v>
      </c>
      <c r="AT115" s="202">
        <f>(('Rate Tables'!$F29*$E115)*PersonCalcYr2!AR115)*AS115*$F115</f>
        <v>0</v>
      </c>
      <c r="AU115" s="197">
        <f>AM115-(AR115*AS115)</f>
        <v>0</v>
      </c>
      <c r="AV115" s="202"/>
      <c r="AW115" s="202"/>
      <c r="AX115" s="202"/>
      <c r="AY115" s="202"/>
      <c r="AZ115" s="178"/>
      <c r="BA115" s="311"/>
      <c r="BB115" s="12"/>
      <c r="BC115" s="227" t="s">
        <v>453</v>
      </c>
      <c r="BD115" s="275">
        <f>IF(BD114=0,0,BD113)</f>
        <v>0.3226</v>
      </c>
      <c r="BE115" s="12">
        <f>(BD111+BD118)*BE113</f>
        <v>0</v>
      </c>
    </row>
    <row r="116" spans="1:59" ht="14.25" customHeight="1" x14ac:dyDescent="0.25">
      <c r="A116" s="296"/>
      <c r="B116" s="12"/>
      <c r="C116" s="117" t="s">
        <v>664</v>
      </c>
      <c r="D116" s="188"/>
      <c r="E116" s="153"/>
      <c r="F116" s="153" t="s">
        <v>42</v>
      </c>
      <c r="G116" s="153" t="s">
        <v>598</v>
      </c>
      <c r="H116" s="183" t="s">
        <v>77</v>
      </c>
      <c r="I116" s="219" t="s">
        <v>600</v>
      </c>
      <c r="J116" s="153" t="s">
        <v>110</v>
      </c>
      <c r="K116" s="153" t="s">
        <v>78</v>
      </c>
      <c r="L116" s="153" t="s">
        <v>82</v>
      </c>
      <c r="M116" s="153" t="s">
        <v>33</v>
      </c>
      <c r="N116" s="153" t="s">
        <v>69</v>
      </c>
      <c r="O116" s="217"/>
      <c r="P116" s="153" t="s">
        <v>72</v>
      </c>
      <c r="Q116" s="183" t="s">
        <v>80</v>
      </c>
      <c r="R116" s="187" t="s">
        <v>81</v>
      </c>
      <c r="S116" s="183" t="s">
        <v>77</v>
      </c>
      <c r="T116" s="673" t="s">
        <v>107</v>
      </c>
      <c r="U116" s="153" t="s">
        <v>79</v>
      </c>
      <c r="V116" s="153" t="s">
        <v>82</v>
      </c>
      <c r="W116" s="153" t="s">
        <v>34</v>
      </c>
      <c r="X116" s="153" t="s">
        <v>69</v>
      </c>
      <c r="Y116" s="178"/>
      <c r="Z116" s="178"/>
      <c r="AA116" s="217"/>
      <c r="AB116" s="153" t="s">
        <v>72</v>
      </c>
      <c r="AC116" s="153" t="s">
        <v>80</v>
      </c>
      <c r="AD116" s="187" t="s">
        <v>81</v>
      </c>
      <c r="AE116" s="183" t="s">
        <v>77</v>
      </c>
      <c r="AF116" s="220" t="s">
        <v>107</v>
      </c>
      <c r="AG116" s="153" t="s">
        <v>601</v>
      </c>
      <c r="AH116" s="153" t="s">
        <v>82</v>
      </c>
      <c r="AI116" s="153" t="s">
        <v>602</v>
      </c>
      <c r="AJ116" s="153" t="s">
        <v>69</v>
      </c>
      <c r="AK116" s="178"/>
      <c r="AL116" s="217"/>
      <c r="AM116" s="153" t="s">
        <v>72</v>
      </c>
      <c r="AN116" s="153" t="s">
        <v>80</v>
      </c>
      <c r="AO116" s="187" t="s">
        <v>81</v>
      </c>
      <c r="AP116" s="183" t="s">
        <v>77</v>
      </c>
      <c r="AQ116" s="220" t="s">
        <v>107</v>
      </c>
      <c r="AR116" s="153" t="s">
        <v>79</v>
      </c>
      <c r="AS116" s="153" t="s">
        <v>82</v>
      </c>
      <c r="AT116" s="153" t="s">
        <v>602</v>
      </c>
      <c r="AU116" s="153" t="s">
        <v>69</v>
      </c>
      <c r="AV116" s="153"/>
      <c r="AW116" s="153"/>
      <c r="AX116" s="153"/>
      <c r="AY116" s="153"/>
      <c r="AZ116" s="178"/>
      <c r="BA116" s="311"/>
      <c r="BB116" s="12"/>
      <c r="BC116" s="227"/>
      <c r="BD116" s="275"/>
      <c r="BE116" s="12"/>
    </row>
    <row r="117" spans="1:59" ht="14.25" customHeight="1" thickBot="1" x14ac:dyDescent="0.3">
      <c r="A117" s="296"/>
      <c r="B117" s="12"/>
      <c r="C117" s="115"/>
      <c r="D117" s="188"/>
      <c r="E117" s="221">
        <f>BB$111</f>
        <v>0.1</v>
      </c>
      <c r="F117" s="190">
        <f>IF($D$4=2024,1,0)</f>
        <v>0</v>
      </c>
      <c r="G117" s="178">
        <f>IF($B118="Yes",$C$5,$I119)</f>
        <v>12</v>
      </c>
      <c r="H117" s="191">
        <f>VLOOKUP(H118,'Lookup Tables'!$A$22:$B$33,2,FALSE)</f>
        <v>3</v>
      </c>
      <c r="I117" s="192">
        <f>VLOOKUP($E$4,'Lookup Tables'!$AB$46:$AN$58,MATCH($H117,'Lookup Tables'!$AB$46:$AN$46),FALSE)</f>
        <v>12</v>
      </c>
      <c r="J117" s="190">
        <f>12-I117</f>
        <v>0</v>
      </c>
      <c r="K117" s="190">
        <f>IF(G117&lt;J117,G117,J117)</f>
        <v>0</v>
      </c>
      <c r="L117" s="195">
        <f>IF(12-I117&gt;=1,1,0)</f>
        <v>0</v>
      </c>
      <c r="M117" s="202">
        <f>((('Rate Tables'!$D29*$E117)*PersonCalcYr2!$K117)*L117)*$F117</f>
        <v>0</v>
      </c>
      <c r="N117" s="197">
        <f>G117-(J117*L117)</f>
        <v>12</v>
      </c>
      <c r="O117" s="217"/>
      <c r="P117" s="197">
        <f>IF(N117&lt;0,N117*0,1)*N117</f>
        <v>12</v>
      </c>
      <c r="Q117" s="198">
        <f>VLOOKUP(H118,'Lookup Tables'!$A$22:$B$33,2,FALSE)+(K117*L117)</f>
        <v>3</v>
      </c>
      <c r="R117" s="199" t="str">
        <f>VLOOKUP(Q117,'Lookup Tables'!$A$38:$B$151,2,FALSE)</f>
        <v>Sept</v>
      </c>
      <c r="S117" s="191">
        <f>VLOOKUP(R117,'Lookup Tables'!$A$22:$B$33,2,FALSE)</f>
        <v>3</v>
      </c>
      <c r="T117" s="672">
        <f>VLOOKUP($E$4,'Lookup Tables'!$AQ$46:$BC$58,MATCH(PersonCalcYr2!$S117,'Lookup Tables'!$AQ$46:$BC$46),FALSE)</f>
        <v>10</v>
      </c>
      <c r="U117" s="190">
        <f>IF(P117&lt;T117,P117,T117)</f>
        <v>10</v>
      </c>
      <c r="V117" s="195">
        <f>IF((U117)&lt;=0,0,1)</f>
        <v>1</v>
      </c>
      <c r="W117" s="202">
        <f>(('Rate Tables'!$E29*$E117)*PersonCalcYr2!$U117)*$V117*$F117</f>
        <v>0</v>
      </c>
      <c r="X117" s="197">
        <f>P117-(U117*V117)</f>
        <v>2</v>
      </c>
      <c r="Y117" s="178"/>
      <c r="Z117" s="178"/>
      <c r="AA117" s="217"/>
      <c r="AB117" s="197">
        <f>IF(X117&lt;0,X117*0,1)*X117</f>
        <v>2</v>
      </c>
      <c r="AC117" s="203">
        <f>S117+(U117*V117)</f>
        <v>13</v>
      </c>
      <c r="AD117" s="199" t="str">
        <f>VLOOKUP(AC117,'Lookup Tables'!$A$38:$B$151,2,FALSE)</f>
        <v>July</v>
      </c>
      <c r="AE117" s="191">
        <f>VLOOKUP(AD117,'Lookup Tables'!$A$22:$B$33,2,FALSE)</f>
        <v>1</v>
      </c>
      <c r="AF117" s="222">
        <f>VLOOKUP($AE117,'Lookup Tables'!$AC$3:$AW$16,MATCH(PersonCalcYr2!$AB117,'Lookup Tables'!$AC$3:$AW$3),FALSE)</f>
        <v>2</v>
      </c>
      <c r="AG117" s="190">
        <f>IF(AB117&lt;AF117,AB117,AF117)</f>
        <v>2</v>
      </c>
      <c r="AH117" s="195">
        <f>IF((AG117)&lt;=0,0,1)</f>
        <v>1</v>
      </c>
      <c r="AI117" s="202">
        <f>(('Rate Tables'!$F29*$E117)*PersonCalcYr2!AG117)*AH117*$F117</f>
        <v>0</v>
      </c>
      <c r="AJ117" s="197">
        <f>AB117-(AG117*AH117)</f>
        <v>0</v>
      </c>
      <c r="AK117" s="178"/>
      <c r="AL117" s="217"/>
      <c r="AM117" s="197">
        <f>IF(AJ117&lt;0,AJ117*0,1)*AJ117</f>
        <v>0</v>
      </c>
      <c r="AN117" s="203">
        <f>AE117+(AG117*AH117)</f>
        <v>3</v>
      </c>
      <c r="AO117" s="199" t="str">
        <f>VLOOKUP(AN117,'Lookup Tables'!$A$38:$B$151,2,FALSE)</f>
        <v>Sept</v>
      </c>
      <c r="AP117" s="191">
        <f>VLOOKUP(AO117,'Lookup Tables'!$A$22:$B$33,2,FALSE)</f>
        <v>3</v>
      </c>
      <c r="AQ117" s="222">
        <f>VLOOKUP($AP117,'Lookup Tables'!$AC$3:$AW$16,MATCH(PersonCalcYr2!$AM117,'Lookup Tables'!$AC$3:$AW$3),FALSE)</f>
        <v>0</v>
      </c>
      <c r="AR117" s="190">
        <f>IF(AM117&lt;AQ117,AM117,AQ117)</f>
        <v>0</v>
      </c>
      <c r="AS117" s="195">
        <f>IF((AR117)&lt;=0,0,1)</f>
        <v>0</v>
      </c>
      <c r="AT117" s="202">
        <f>(('Rate Tables'!$G29*$E117)*PersonCalcYr2!AR117)*AS117*$F117</f>
        <v>0</v>
      </c>
      <c r="AU117" s="197">
        <f>AM117-(AR117*AS117)</f>
        <v>0</v>
      </c>
      <c r="AV117" s="202"/>
      <c r="AW117" s="202"/>
      <c r="AX117" s="202"/>
      <c r="AY117" s="202"/>
      <c r="AZ117" s="178"/>
      <c r="BA117" s="311"/>
      <c r="BB117" s="12"/>
      <c r="BC117" s="227"/>
      <c r="BD117" s="275"/>
      <c r="BE117" s="12"/>
    </row>
    <row r="118" spans="1:59" ht="14.25" customHeight="1" thickBot="1" x14ac:dyDescent="0.3">
      <c r="A118" s="377" t="s">
        <v>431</v>
      </c>
      <c r="B118" s="375" t="str">
        <f>Personnel!M39</f>
        <v>YES</v>
      </c>
      <c r="C118" s="12"/>
      <c r="D118" s="178"/>
      <c r="E118" s="178"/>
      <c r="F118" s="178"/>
      <c r="G118" s="178" t="s">
        <v>430</v>
      </c>
      <c r="H118" s="178" t="str">
        <f>IF(B118="yes",$C$4,A120)</f>
        <v>Sept</v>
      </c>
      <c r="I118" s="178"/>
      <c r="J118" s="178"/>
      <c r="K118" s="178"/>
      <c r="L118" s="178"/>
      <c r="M118" s="178"/>
      <c r="N118" s="178"/>
      <c r="O118" s="217"/>
      <c r="P118" s="178"/>
      <c r="Q118" s="178"/>
      <c r="R118" s="178"/>
      <c r="S118" s="178"/>
      <c r="T118" s="178"/>
      <c r="U118" s="178"/>
      <c r="V118" s="178"/>
      <c r="W118" s="178"/>
      <c r="X118" s="178"/>
      <c r="Y118" s="178"/>
      <c r="Z118" s="178"/>
      <c r="AA118" s="217"/>
      <c r="AB118" s="178"/>
      <c r="AC118" s="178"/>
      <c r="AD118" s="178"/>
      <c r="AE118" s="178"/>
      <c r="AF118" s="178"/>
      <c r="AG118" s="178"/>
      <c r="AH118" s="178"/>
      <c r="AI118" s="178"/>
      <c r="AJ118" s="178"/>
      <c r="AK118" s="178"/>
      <c r="AL118" s="217"/>
      <c r="AM118" s="178"/>
      <c r="AN118" s="178"/>
      <c r="AO118" s="178"/>
      <c r="AP118" s="178"/>
      <c r="AQ118" s="178"/>
      <c r="AR118" s="178"/>
      <c r="AS118" s="178"/>
      <c r="AT118" s="178"/>
      <c r="AU118" s="178"/>
      <c r="AV118" s="178"/>
      <c r="AW118" s="178"/>
      <c r="AX118" s="178"/>
      <c r="AY118" s="178"/>
      <c r="AZ118" s="178"/>
      <c r="BA118" s="227"/>
      <c r="BB118" s="12"/>
      <c r="BC118" s="278" t="s">
        <v>415</v>
      </c>
      <c r="BD118" s="279">
        <f>BD111*BD115</f>
        <v>0</v>
      </c>
      <c r="BE118" s="373">
        <f>BD111+BD118+BE115</f>
        <v>0</v>
      </c>
      <c r="BG118" s="313"/>
    </row>
    <row r="119" spans="1:59" ht="14.25" customHeight="1" x14ac:dyDescent="0.25">
      <c r="A119" s="296" t="s">
        <v>439</v>
      </c>
      <c r="B119" s="114" t="s">
        <v>427</v>
      </c>
      <c r="C119" s="12"/>
      <c r="D119" s="178"/>
      <c r="E119" s="178"/>
      <c r="F119" s="178"/>
      <c r="G119" s="491" t="s">
        <v>555</v>
      </c>
      <c r="H119" s="11">
        <f>IF(H120&lt;$C$5,H120,$C$5)</f>
        <v>12</v>
      </c>
      <c r="I119" s="178">
        <f>IF(B120&lt;=H120,B120,H120)</f>
        <v>0</v>
      </c>
      <c r="J119" s="178"/>
      <c r="K119" s="178"/>
      <c r="L119" s="178"/>
      <c r="M119" s="178"/>
      <c r="N119" s="178"/>
      <c r="O119" s="217"/>
      <c r="P119" s="178"/>
      <c r="Q119" s="178"/>
      <c r="R119" s="178"/>
      <c r="S119" s="178"/>
      <c r="T119" s="178"/>
      <c r="U119" s="178"/>
      <c r="V119" s="178"/>
      <c r="W119" s="178"/>
      <c r="X119" s="178"/>
      <c r="Y119" s="178"/>
      <c r="Z119" s="178"/>
      <c r="AA119" s="217"/>
      <c r="AB119" s="178"/>
      <c r="AC119" s="178"/>
      <c r="AD119" s="178"/>
      <c r="AE119" s="178"/>
      <c r="AF119" s="178"/>
      <c r="AG119" s="178"/>
      <c r="AH119" s="178"/>
      <c r="AI119" s="178"/>
      <c r="AJ119" s="178"/>
      <c r="AK119" s="178"/>
      <c r="AL119" s="217"/>
      <c r="AM119" s="178"/>
      <c r="AN119" s="178"/>
      <c r="AO119" s="178"/>
      <c r="AP119" s="178"/>
      <c r="AQ119" s="178"/>
      <c r="AR119" s="178"/>
      <c r="AS119" s="178"/>
      <c r="AT119" s="178"/>
      <c r="AU119" s="178"/>
      <c r="AV119" s="178"/>
      <c r="AW119" s="178"/>
      <c r="AX119" s="178"/>
      <c r="AY119" s="178"/>
      <c r="AZ119" s="178"/>
      <c r="BA119" s="227"/>
      <c r="BB119" s="12"/>
      <c r="BC119" s="278"/>
      <c r="BD119" s="284"/>
      <c r="BE119" s="369"/>
      <c r="BG119" s="313"/>
    </row>
    <row r="120" spans="1:59" ht="14.25" customHeight="1" x14ac:dyDescent="0.25">
      <c r="A120" s="397">
        <f>Personnel!M40</f>
        <v>0</v>
      </c>
      <c r="B120" s="273">
        <f>Personnel!M41</f>
        <v>0</v>
      </c>
      <c r="C120" s="12"/>
      <c r="D120" s="178"/>
      <c r="E120" s="178"/>
      <c r="F120" s="178"/>
      <c r="G120" s="178"/>
      <c r="H120" s="175">
        <f>VLOOKUP($E$4,'Lookup Tables'!$L$46:$AA$58,MATCH($H$113,'Lookup Tables'!$L$46:$X$46),FALSE)</f>
        <v>12</v>
      </c>
      <c r="I120" s="178"/>
      <c r="J120" s="178"/>
      <c r="K120" s="178"/>
      <c r="L120" s="178"/>
      <c r="M120" s="178"/>
      <c r="N120" s="178"/>
      <c r="O120" s="217"/>
      <c r="P120" s="178"/>
      <c r="Q120" s="178"/>
      <c r="R120" s="178"/>
      <c r="S120" s="178"/>
      <c r="T120" s="178"/>
      <c r="U120" s="178"/>
      <c r="V120" s="178"/>
      <c r="W120" s="178"/>
      <c r="X120" s="178"/>
      <c r="Y120" s="178"/>
      <c r="Z120" s="178"/>
      <c r="AA120" s="217"/>
      <c r="AB120" s="178"/>
      <c r="AC120" s="178"/>
      <c r="AD120" s="178"/>
      <c r="AE120" s="178"/>
      <c r="AF120" s="178"/>
      <c r="AG120" s="178"/>
      <c r="AH120" s="178"/>
      <c r="AI120" s="178"/>
      <c r="AJ120" s="178"/>
      <c r="AK120" s="178"/>
      <c r="AL120" s="217"/>
      <c r="AM120" s="178"/>
      <c r="AN120" s="178"/>
      <c r="AO120" s="178"/>
      <c r="AP120" s="178"/>
      <c r="AQ120" s="178"/>
      <c r="AR120" s="178"/>
      <c r="AS120" s="178"/>
      <c r="AT120" s="178"/>
      <c r="AU120" s="178"/>
      <c r="AV120" s="178"/>
      <c r="AW120" s="178"/>
      <c r="AX120" s="178"/>
      <c r="AY120" s="178"/>
      <c r="AZ120" s="178"/>
      <c r="BA120" s="227"/>
      <c r="BB120" s="12"/>
      <c r="BC120" s="278"/>
      <c r="BD120" s="284"/>
      <c r="BE120" s="369"/>
      <c r="BG120" s="313"/>
    </row>
    <row r="121" spans="1:59" ht="6.75" customHeight="1" thickBot="1" x14ac:dyDescent="0.3">
      <c r="A121" s="297"/>
      <c r="B121" s="149"/>
      <c r="C121" s="149"/>
      <c r="D121" s="149"/>
      <c r="E121" s="149"/>
      <c r="F121" s="149"/>
      <c r="G121" s="149"/>
      <c r="H121" s="149"/>
      <c r="I121" s="149"/>
      <c r="J121" s="149"/>
      <c r="K121" s="149"/>
      <c r="L121" s="149"/>
      <c r="M121" s="149"/>
      <c r="N121" s="149"/>
      <c r="O121" s="697"/>
      <c r="P121" s="149"/>
      <c r="Q121" s="149"/>
      <c r="R121" s="149"/>
      <c r="S121" s="149"/>
      <c r="T121" s="149"/>
      <c r="U121" s="149"/>
      <c r="V121" s="149"/>
      <c r="W121" s="149"/>
      <c r="X121" s="149"/>
      <c r="Y121" s="149"/>
      <c r="Z121" s="149"/>
      <c r="AA121" s="697"/>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280"/>
      <c r="BB121" s="149"/>
      <c r="BC121" s="149"/>
      <c r="BD121" s="281"/>
      <c r="BE121" s="149"/>
    </row>
    <row r="122" spans="1:59" ht="14.25" customHeight="1" x14ac:dyDescent="0.25">
      <c r="A122" s="298" t="s">
        <v>174</v>
      </c>
      <c r="B122" s="294" t="s">
        <v>175</v>
      </c>
      <c r="C122" s="180" t="s">
        <v>606</v>
      </c>
      <c r="D122" s="179"/>
      <c r="E122" s="218"/>
      <c r="F122" s="218"/>
      <c r="G122" s="181"/>
      <c r="H122" s="181"/>
      <c r="I122" s="181"/>
      <c r="J122" s="181"/>
      <c r="K122" s="181"/>
      <c r="L122" s="181"/>
      <c r="M122" s="181"/>
      <c r="N122" s="181"/>
      <c r="O122" s="181"/>
      <c r="P122" s="181"/>
      <c r="Q122" s="181"/>
      <c r="R122" s="181"/>
      <c r="S122" s="181"/>
      <c r="T122" s="181"/>
      <c r="U122" s="181"/>
      <c r="V122" s="181"/>
      <c r="W122" s="181"/>
      <c r="X122" s="181"/>
      <c r="Y122" s="181"/>
      <c r="Z122" s="493">
        <v>44378</v>
      </c>
      <c r="AA122" s="493">
        <v>44742</v>
      </c>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282"/>
      <c r="BB122" s="144"/>
      <c r="BC122" s="144"/>
      <c r="BD122" s="283"/>
      <c r="BE122" s="12"/>
      <c r="BG122" s="313"/>
    </row>
    <row r="123" spans="1:59" ht="15" customHeight="1" x14ac:dyDescent="0.25">
      <c r="A123" s="345">
        <f>Personnel!C45</f>
        <v>0</v>
      </c>
      <c r="B123" s="346" t="str">
        <f>Personnel!C44</f>
        <v>Prof/Admin</v>
      </c>
      <c r="C123" s="347">
        <f>Personnel!C46</f>
        <v>0</v>
      </c>
      <c r="D123" s="188"/>
      <c r="E123" s="205"/>
      <c r="F123" s="205"/>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8"/>
      <c r="AZ123" s="178"/>
      <c r="BA123" s="306" t="s">
        <v>413</v>
      </c>
      <c r="BB123" s="348">
        <f>Personnel!O44</f>
        <v>0.25</v>
      </c>
      <c r="BC123" s="278" t="s">
        <v>96</v>
      </c>
      <c r="BD123" s="279">
        <f>(M125+W125+AI125+AT125+M127+W127+AI127+AT127+M129+W129+AI129+AT129)*BB126</f>
        <v>0</v>
      </c>
      <c r="BE123" s="369"/>
      <c r="BG123" s="313"/>
    </row>
    <row r="124" spans="1:59" ht="14.25" customHeight="1" x14ac:dyDescent="0.25">
      <c r="A124" s="296"/>
      <c r="B124" s="12"/>
      <c r="C124" s="117" t="s">
        <v>30</v>
      </c>
      <c r="D124" s="182"/>
      <c r="E124" s="153"/>
      <c r="F124" s="153" t="s">
        <v>42</v>
      </c>
      <c r="G124" s="153" t="s">
        <v>41</v>
      </c>
      <c r="H124" s="183" t="s">
        <v>77</v>
      </c>
      <c r="I124" s="219" t="s">
        <v>50</v>
      </c>
      <c r="J124" s="153" t="s">
        <v>52</v>
      </c>
      <c r="K124" s="153" t="s">
        <v>35</v>
      </c>
      <c r="L124" s="153" t="s">
        <v>82</v>
      </c>
      <c r="M124" s="153" t="s">
        <v>31</v>
      </c>
      <c r="N124" s="153" t="s">
        <v>69</v>
      </c>
      <c r="O124" s="178"/>
      <c r="P124" s="153" t="s">
        <v>72</v>
      </c>
      <c r="Q124" s="183" t="s">
        <v>80</v>
      </c>
      <c r="R124" s="187" t="s">
        <v>81</v>
      </c>
      <c r="S124" s="183" t="s">
        <v>77</v>
      </c>
      <c r="T124" s="673" t="s">
        <v>107</v>
      </c>
      <c r="U124" s="153" t="s">
        <v>53</v>
      </c>
      <c r="V124" s="153" t="s">
        <v>82</v>
      </c>
      <c r="W124" s="153" t="s">
        <v>32</v>
      </c>
      <c r="X124" s="153" t="s">
        <v>69</v>
      </c>
      <c r="Y124" s="178"/>
      <c r="Z124" s="178"/>
      <c r="AA124" s="178"/>
      <c r="AB124" s="153" t="s">
        <v>72</v>
      </c>
      <c r="AC124" s="153" t="s">
        <v>80</v>
      </c>
      <c r="AD124" s="187" t="s">
        <v>81</v>
      </c>
      <c r="AE124" s="183" t="s">
        <v>77</v>
      </c>
      <c r="AF124" s="220" t="s">
        <v>107</v>
      </c>
      <c r="AG124" s="153" t="s">
        <v>78</v>
      </c>
      <c r="AH124" s="153" t="s">
        <v>82</v>
      </c>
      <c r="AI124" s="153" t="s">
        <v>33</v>
      </c>
      <c r="AJ124" s="153" t="s">
        <v>69</v>
      </c>
      <c r="AK124" s="178"/>
      <c r="AL124" s="178"/>
      <c r="AM124" s="153" t="s">
        <v>72</v>
      </c>
      <c r="AN124" s="153" t="s">
        <v>80</v>
      </c>
      <c r="AO124" s="187" t="s">
        <v>81</v>
      </c>
      <c r="AP124" s="183" t="s">
        <v>77</v>
      </c>
      <c r="AQ124" s="220" t="s">
        <v>107</v>
      </c>
      <c r="AR124" s="153" t="s">
        <v>78</v>
      </c>
      <c r="AS124" s="153" t="s">
        <v>82</v>
      </c>
      <c r="AT124" s="153" t="s">
        <v>33</v>
      </c>
      <c r="AU124" s="153" t="s">
        <v>69</v>
      </c>
      <c r="AV124" s="153"/>
      <c r="AW124" s="153"/>
      <c r="AX124" s="153"/>
      <c r="AY124" s="153"/>
      <c r="AZ124" s="178"/>
      <c r="BA124" s="227"/>
      <c r="BB124" s="12"/>
      <c r="BC124" s="227"/>
      <c r="BD124" s="275"/>
      <c r="BE124" s="12" t="s">
        <v>418</v>
      </c>
    </row>
    <row r="125" spans="1:59" ht="14.25" customHeight="1" x14ac:dyDescent="0.25">
      <c r="A125" s="296"/>
      <c r="B125" s="12"/>
      <c r="C125" s="115"/>
      <c r="D125" s="188"/>
      <c r="E125" s="221">
        <f>BB123</f>
        <v>0.25</v>
      </c>
      <c r="F125" s="190">
        <f>IF($D$4=2022,1,0)</f>
        <v>0</v>
      </c>
      <c r="G125" s="178">
        <f>IF($B130="Yes",$C$5,$I131)</f>
        <v>12</v>
      </c>
      <c r="H125" s="191">
        <f>VLOOKUP(H130,'Lookup Tables'!$A$22:$B$33,2,FALSE)</f>
        <v>3</v>
      </c>
      <c r="I125" s="192">
        <f>VLOOKUP($E$4,'Lookup Tables'!$AB$46:$AN$58,MATCH($H125,'Lookup Tables'!$AB$46:$AN$46),FALSE)</f>
        <v>12</v>
      </c>
      <c r="J125" s="190">
        <f>12-I125</f>
        <v>0</v>
      </c>
      <c r="K125" s="190">
        <f>IF(G125&lt;J125,G125,J125)</f>
        <v>0</v>
      </c>
      <c r="L125" s="195">
        <f>IF(12-I125&gt;=1,1,0)</f>
        <v>0</v>
      </c>
      <c r="M125" s="202">
        <f>((('Rate Tables'!$B34*$E125)*PersonCalcYr2!$K125)*L125)*$F125</f>
        <v>0</v>
      </c>
      <c r="N125" s="197">
        <f>G125-(J125*L125)</f>
        <v>12</v>
      </c>
      <c r="O125" s="178"/>
      <c r="P125" s="197">
        <f>IF(N125&lt;0,N125*0,1)*N125</f>
        <v>12</v>
      </c>
      <c r="Q125" s="198">
        <f>VLOOKUP(H130,'Lookup Tables'!$A$22:$B$33,2,FALSE)+(K125*L125)</f>
        <v>3</v>
      </c>
      <c r="R125" s="199" t="str">
        <f>VLOOKUP(Q125,'Lookup Tables'!$A$38:$B$151,2,FALSE)</f>
        <v>Sept</v>
      </c>
      <c r="S125" s="191">
        <f>VLOOKUP(R125,'Lookup Tables'!$A$22:$B$33,2,FALSE)</f>
        <v>3</v>
      </c>
      <c r="T125" s="672">
        <f>VLOOKUP($E$4,'Lookup Tables'!$AQ$46:$BC$58,MATCH(PersonCalcYr2!$S125,'Lookup Tables'!$AQ$46:$BC$46),FALSE)</f>
        <v>10</v>
      </c>
      <c r="U125" s="190">
        <f>IF(P125&lt;T125,P125,T125)</f>
        <v>10</v>
      </c>
      <c r="V125" s="195">
        <f>IF((U125)&lt;=0,0,1)</f>
        <v>1</v>
      </c>
      <c r="W125" s="202">
        <f>(('Rate Tables'!$C34*$E125)*PersonCalcYr2!$U125)*$V125*$F125</f>
        <v>0</v>
      </c>
      <c r="X125" s="197">
        <f>P125-(U125*V125)</f>
        <v>2</v>
      </c>
      <c r="Y125" s="178"/>
      <c r="Z125" s="178"/>
      <c r="AA125" s="178"/>
      <c r="AB125" s="197">
        <f>IF(X125&lt;0,X125*0,1)*X125</f>
        <v>2</v>
      </c>
      <c r="AC125" s="203">
        <f>S125+(U125*V125)</f>
        <v>13</v>
      </c>
      <c r="AD125" s="199" t="str">
        <f>VLOOKUP(AC125,'Lookup Tables'!$A$38:$B$151,2,FALSE)</f>
        <v>July</v>
      </c>
      <c r="AE125" s="191">
        <f>VLOOKUP(AD125,'Lookup Tables'!$A$22:$B$33,2,FALSE)</f>
        <v>1</v>
      </c>
      <c r="AF125" s="222">
        <f>VLOOKUP($AE125,'Lookup Tables'!$AC$3:$AW$16,MATCH(PersonCalcYr2!$AB125,'Lookup Tables'!$AC$3:$AW$3),FALSE)</f>
        <v>2</v>
      </c>
      <c r="AG125" s="190">
        <f>IF(AB125&lt;AF125,AB125,AF125)</f>
        <v>2</v>
      </c>
      <c r="AH125" s="195">
        <f>IF((AG125)&lt;=0,0,1)</f>
        <v>1</v>
      </c>
      <c r="AI125" s="202">
        <f>(('Rate Tables'!$D34*$E125)*PersonCalcYr2!AG125)*AH125*$F125</f>
        <v>0</v>
      </c>
      <c r="AJ125" s="197">
        <f>AB125-(AG125*AH125)</f>
        <v>0</v>
      </c>
      <c r="AK125" s="178"/>
      <c r="AL125" s="178"/>
      <c r="AM125" s="197">
        <f>IF(AJ125&lt;0,AJ125*0,1)*AJ125</f>
        <v>0</v>
      </c>
      <c r="AN125" s="203">
        <f>AE125+(AG125*AH125)</f>
        <v>3</v>
      </c>
      <c r="AO125" s="199" t="str">
        <f>VLOOKUP(AN125,'Lookup Tables'!$A$38:$B$151,2,FALSE)</f>
        <v>Sept</v>
      </c>
      <c r="AP125" s="191">
        <f>VLOOKUP(AO125,'Lookup Tables'!$A$22:$B$33,2,FALSE)</f>
        <v>3</v>
      </c>
      <c r="AQ125" s="222">
        <f>VLOOKUP($AP125,'Lookup Tables'!$AC$3:$AW$16,MATCH(PersonCalcYr2!$AM125,'Lookup Tables'!$AC$3:$AW$3),FALSE)</f>
        <v>0</v>
      </c>
      <c r="AR125" s="190">
        <f>IF(AM125&lt;AQ125,AM125,AQ125)</f>
        <v>0</v>
      </c>
      <c r="AS125" s="195">
        <f>IF((AR125)&lt;=0,0,1)</f>
        <v>0</v>
      </c>
      <c r="AT125" s="202">
        <f>(('Rate Tables'!$E34*$E125)*PersonCalcYr2!AR125)*AS125*$F125</f>
        <v>0</v>
      </c>
      <c r="AU125" s="197">
        <f>AM125-(AR125*AS125)</f>
        <v>0</v>
      </c>
      <c r="AV125" s="202"/>
      <c r="AW125" s="202"/>
      <c r="AX125" s="202"/>
      <c r="AY125" s="202"/>
      <c r="AZ125" s="178"/>
      <c r="BA125" s="227"/>
      <c r="BB125" s="12"/>
      <c r="BC125" s="227" t="s">
        <v>451</v>
      </c>
      <c r="BD125" s="275">
        <f>(VLOOKUP($B123,'Rate Tables'!$O$2:$P$8,2,FALSE))</f>
        <v>0.3226</v>
      </c>
      <c r="BE125" s="372">
        <f>VLOOKUP('F&amp;ARatesCalc'!$B$1,'F&amp;ARatesCalc'!$A$3:$B$5,2,FALSE)</f>
        <v>0.56999999999999995</v>
      </c>
    </row>
    <row r="126" spans="1:59" ht="14.25" customHeight="1" x14ac:dyDescent="0.25">
      <c r="A126" s="296"/>
      <c r="B126" s="12"/>
      <c r="C126" s="117" t="s">
        <v>597</v>
      </c>
      <c r="D126" s="182"/>
      <c r="E126" s="153"/>
      <c r="F126" s="153" t="s">
        <v>42</v>
      </c>
      <c r="G126" s="153" t="s">
        <v>41</v>
      </c>
      <c r="H126" s="183" t="s">
        <v>77</v>
      </c>
      <c r="I126" s="219" t="s">
        <v>51</v>
      </c>
      <c r="J126" s="153" t="s">
        <v>110</v>
      </c>
      <c r="K126" s="153" t="s">
        <v>53</v>
      </c>
      <c r="L126" s="153" t="s">
        <v>82</v>
      </c>
      <c r="M126" s="153" t="s">
        <v>32</v>
      </c>
      <c r="N126" s="153" t="s">
        <v>69</v>
      </c>
      <c r="O126" s="178"/>
      <c r="P126" s="153" t="s">
        <v>72</v>
      </c>
      <c r="Q126" s="183" t="s">
        <v>80</v>
      </c>
      <c r="R126" s="187" t="s">
        <v>81</v>
      </c>
      <c r="S126" s="183" t="s">
        <v>77</v>
      </c>
      <c r="T126" s="673" t="s">
        <v>107</v>
      </c>
      <c r="U126" s="153" t="s">
        <v>78</v>
      </c>
      <c r="V126" s="153" t="s">
        <v>82</v>
      </c>
      <c r="W126" s="153" t="s">
        <v>33</v>
      </c>
      <c r="X126" s="153" t="s">
        <v>69</v>
      </c>
      <c r="Y126" s="178"/>
      <c r="Z126" s="178"/>
      <c r="AA126" s="178"/>
      <c r="AB126" s="153" t="s">
        <v>72</v>
      </c>
      <c r="AC126" s="153" t="s">
        <v>80</v>
      </c>
      <c r="AD126" s="187" t="s">
        <v>81</v>
      </c>
      <c r="AE126" s="183" t="s">
        <v>77</v>
      </c>
      <c r="AF126" s="220" t="s">
        <v>107</v>
      </c>
      <c r="AG126" s="153" t="s">
        <v>79</v>
      </c>
      <c r="AH126" s="153" t="s">
        <v>82</v>
      </c>
      <c r="AI126" s="153" t="s">
        <v>34</v>
      </c>
      <c r="AJ126" s="153" t="s">
        <v>69</v>
      </c>
      <c r="AK126" s="178"/>
      <c r="AL126" s="178"/>
      <c r="AM126" s="153" t="s">
        <v>72</v>
      </c>
      <c r="AN126" s="153" t="s">
        <v>80</v>
      </c>
      <c r="AO126" s="187" t="s">
        <v>81</v>
      </c>
      <c r="AP126" s="183" t="s">
        <v>77</v>
      </c>
      <c r="AQ126" s="220" t="s">
        <v>107</v>
      </c>
      <c r="AR126" s="153" t="s">
        <v>79</v>
      </c>
      <c r="AS126" s="153" t="s">
        <v>82</v>
      </c>
      <c r="AT126" s="153" t="s">
        <v>34</v>
      </c>
      <c r="AU126" s="153" t="s">
        <v>69</v>
      </c>
      <c r="AV126" s="153"/>
      <c r="AW126" s="153"/>
      <c r="AX126" s="153"/>
      <c r="AY126" s="153"/>
      <c r="AZ126" s="178"/>
      <c r="BA126" s="307" t="s">
        <v>450</v>
      </c>
      <c r="BB126" s="349">
        <f>IF(B123=0,0,1)</f>
        <v>1</v>
      </c>
      <c r="BC126" s="227" t="s">
        <v>452</v>
      </c>
      <c r="BD126" s="275">
        <f>_xlfn.IFNA(BD125,0)</f>
        <v>0.3226</v>
      </c>
      <c r="BE126" s="12" t="s">
        <v>417</v>
      </c>
    </row>
    <row r="127" spans="1:59" ht="14.25" customHeight="1" x14ac:dyDescent="0.25">
      <c r="A127" s="296"/>
      <c r="B127" s="12"/>
      <c r="C127" s="115"/>
      <c r="D127" s="188"/>
      <c r="E127" s="221">
        <f>BB123</f>
        <v>0.25</v>
      </c>
      <c r="F127" s="190">
        <f>IF($D$4=2023,1,0)</f>
        <v>1</v>
      </c>
      <c r="G127" s="178">
        <f>IF($B130="Yes",$C$5,$I131)</f>
        <v>12</v>
      </c>
      <c r="H127" s="191">
        <f>VLOOKUP(H130,'Lookup Tables'!$A$22:$B$33,2,FALSE)</f>
        <v>3</v>
      </c>
      <c r="I127" s="192">
        <f>VLOOKUP($E$4,'Lookup Tables'!$AB$46:$AN$58,MATCH($H127,'Lookup Tables'!$AB$46:$AN$46),FALSE)</f>
        <v>12</v>
      </c>
      <c r="J127" s="190">
        <f>12-I127</f>
        <v>0</v>
      </c>
      <c r="K127" s="190">
        <f>IF(G127&lt;J127,G127,J127)</f>
        <v>0</v>
      </c>
      <c r="L127" s="195">
        <f>IF(12-I127&gt;=1,1,0)</f>
        <v>0</v>
      </c>
      <c r="M127" s="202">
        <f>((('Rate Tables'!$C34*$E127)*PersonCalcYr2!$K127)*L127)*$F127</f>
        <v>0</v>
      </c>
      <c r="N127" s="197">
        <f>G127-(J127*L127)</f>
        <v>12</v>
      </c>
      <c r="O127" s="178"/>
      <c r="P127" s="197">
        <f>IF(N127&lt;0,N127*0,1)*N127</f>
        <v>12</v>
      </c>
      <c r="Q127" s="198">
        <f>VLOOKUP(H130,'Lookup Tables'!$A$22:$B$33,2,FALSE)+(K127*L127)</f>
        <v>3</v>
      </c>
      <c r="R127" s="199" t="str">
        <f>VLOOKUP(Q127,'Lookup Tables'!$A$38:$B$151,2,FALSE)</f>
        <v>Sept</v>
      </c>
      <c r="S127" s="191">
        <f>VLOOKUP(R127,'Lookup Tables'!$A$22:$B$33,2,FALSE)</f>
        <v>3</v>
      </c>
      <c r="T127" s="672">
        <f>VLOOKUP($E$4,'Lookup Tables'!$AQ$46:$BC$58,MATCH(PersonCalcYr2!$S127,'Lookup Tables'!$AQ$46:$BC$46),FALSE)</f>
        <v>10</v>
      </c>
      <c r="U127" s="190">
        <f>IF(P127&lt;T127,P127,T127)</f>
        <v>10</v>
      </c>
      <c r="V127" s="195">
        <f>IF((U127)&lt;=0,0,1)</f>
        <v>1</v>
      </c>
      <c r="W127" s="202">
        <f>(('Rate Tables'!$D34*$E127)*PersonCalcYr2!$U127)*$V127*$F127</f>
        <v>0</v>
      </c>
      <c r="X127" s="197">
        <f>P127-(U127*V127)</f>
        <v>2</v>
      </c>
      <c r="Y127" s="178"/>
      <c r="Z127" s="178"/>
      <c r="AA127" s="178"/>
      <c r="AB127" s="197">
        <f>IF(X127&lt;0,X127*0,1)*X127</f>
        <v>2</v>
      </c>
      <c r="AC127" s="203">
        <f>S127+(U127*V127)</f>
        <v>13</v>
      </c>
      <c r="AD127" s="199" t="str">
        <f>VLOOKUP(AC127,'Lookup Tables'!$A$38:$B$151,2,FALSE)</f>
        <v>July</v>
      </c>
      <c r="AE127" s="191">
        <f>VLOOKUP(AD127,'Lookup Tables'!$A$22:$B$33,2,FALSE)</f>
        <v>1</v>
      </c>
      <c r="AF127" s="222">
        <f>VLOOKUP($AE127,'Lookup Tables'!$AC$3:$AW$16,MATCH(PersonCalcYr2!$AB127,'Lookup Tables'!$AC$3:$AW$3),FALSE)</f>
        <v>2</v>
      </c>
      <c r="AG127" s="190">
        <f>IF(AB127&lt;AF127,AB127,AF127)</f>
        <v>2</v>
      </c>
      <c r="AH127" s="195">
        <f>IF((AG127)&lt;=0,0,1)</f>
        <v>1</v>
      </c>
      <c r="AI127" s="202">
        <f>(('Rate Tables'!$E34*$E127)*PersonCalcYr2!AG127)*AH127*$F127</f>
        <v>0</v>
      </c>
      <c r="AJ127" s="197">
        <f>AB127-(AG127*AH127)</f>
        <v>0</v>
      </c>
      <c r="AK127" s="178"/>
      <c r="AL127" s="178"/>
      <c r="AM127" s="197">
        <f>IF(AJ127&lt;0,AJ127*0,1)*AJ127</f>
        <v>0</v>
      </c>
      <c r="AN127" s="203">
        <f>AE127+(AG127*AH127)</f>
        <v>3</v>
      </c>
      <c r="AO127" s="199" t="str">
        <f>VLOOKUP(AN127,'Lookup Tables'!$A$38:$B$151,2,FALSE)</f>
        <v>Sept</v>
      </c>
      <c r="AP127" s="191">
        <f>VLOOKUP(AO127,'Lookup Tables'!$A$22:$B$33,2,FALSE)</f>
        <v>3</v>
      </c>
      <c r="AQ127" s="222">
        <f>VLOOKUP($AP127,'Lookup Tables'!$AC$3:$AW$16,MATCH(PersonCalcYr2!$AM127,'Lookup Tables'!$AC$3:$AW$3),FALSE)</f>
        <v>0</v>
      </c>
      <c r="AR127" s="190">
        <f>IF(AM127&lt;AQ127,AM127,AQ127)</f>
        <v>0</v>
      </c>
      <c r="AS127" s="195">
        <f>IF((AR127)&lt;=0,0,1)</f>
        <v>0</v>
      </c>
      <c r="AT127" s="202">
        <f>(('Rate Tables'!$F34*$E127)*PersonCalcYr2!AR127)*AS127*$F127</f>
        <v>0</v>
      </c>
      <c r="AU127" s="197">
        <f>AM127-(AR127*AS127)</f>
        <v>0</v>
      </c>
      <c r="AV127" s="202"/>
      <c r="AW127" s="202"/>
      <c r="AX127" s="202"/>
      <c r="AY127" s="202"/>
      <c r="AZ127" s="178"/>
      <c r="BA127" s="311"/>
      <c r="BB127" s="12"/>
      <c r="BC127" s="227" t="s">
        <v>453</v>
      </c>
      <c r="BD127" s="275">
        <f>IF(BD126=0,0,BD125)</f>
        <v>0.3226</v>
      </c>
      <c r="BE127" s="12">
        <f>(BD123+BD130)*BE125</f>
        <v>0</v>
      </c>
    </row>
    <row r="128" spans="1:59" ht="14.25" customHeight="1" x14ac:dyDescent="0.25">
      <c r="A128" s="296"/>
      <c r="B128" s="12"/>
      <c r="C128" s="117" t="s">
        <v>664</v>
      </c>
      <c r="D128" s="182"/>
      <c r="E128" s="153"/>
      <c r="F128" s="153" t="s">
        <v>42</v>
      </c>
      <c r="G128" s="153" t="s">
        <v>41</v>
      </c>
      <c r="H128" s="183" t="s">
        <v>77</v>
      </c>
      <c r="I128" s="219" t="s">
        <v>51</v>
      </c>
      <c r="J128" s="153" t="s">
        <v>110</v>
      </c>
      <c r="K128" s="153" t="s">
        <v>53</v>
      </c>
      <c r="L128" s="153" t="s">
        <v>82</v>
      </c>
      <c r="M128" s="153" t="s">
        <v>32</v>
      </c>
      <c r="N128" s="153" t="s">
        <v>69</v>
      </c>
      <c r="O128" s="178"/>
      <c r="P128" s="153" t="s">
        <v>72</v>
      </c>
      <c r="Q128" s="183" t="s">
        <v>80</v>
      </c>
      <c r="R128" s="187" t="s">
        <v>81</v>
      </c>
      <c r="S128" s="183" t="s">
        <v>77</v>
      </c>
      <c r="T128" s="673" t="s">
        <v>107</v>
      </c>
      <c r="U128" s="153" t="s">
        <v>78</v>
      </c>
      <c r="V128" s="153" t="s">
        <v>82</v>
      </c>
      <c r="W128" s="153" t="s">
        <v>33</v>
      </c>
      <c r="X128" s="153" t="s">
        <v>69</v>
      </c>
      <c r="Y128" s="178"/>
      <c r="Z128" s="178"/>
      <c r="AA128" s="178"/>
      <c r="AB128" s="153" t="s">
        <v>72</v>
      </c>
      <c r="AC128" s="153" t="s">
        <v>80</v>
      </c>
      <c r="AD128" s="187" t="s">
        <v>81</v>
      </c>
      <c r="AE128" s="183" t="s">
        <v>77</v>
      </c>
      <c r="AF128" s="220" t="s">
        <v>107</v>
      </c>
      <c r="AG128" s="153" t="s">
        <v>79</v>
      </c>
      <c r="AH128" s="153" t="s">
        <v>82</v>
      </c>
      <c r="AI128" s="153" t="s">
        <v>34</v>
      </c>
      <c r="AJ128" s="153" t="s">
        <v>69</v>
      </c>
      <c r="AK128" s="178"/>
      <c r="AL128" s="178"/>
      <c r="AM128" s="153" t="s">
        <v>72</v>
      </c>
      <c r="AN128" s="153" t="s">
        <v>80</v>
      </c>
      <c r="AO128" s="187" t="s">
        <v>81</v>
      </c>
      <c r="AP128" s="183" t="s">
        <v>77</v>
      </c>
      <c r="AQ128" s="220" t="s">
        <v>107</v>
      </c>
      <c r="AR128" s="153" t="s">
        <v>79</v>
      </c>
      <c r="AS128" s="153" t="s">
        <v>82</v>
      </c>
      <c r="AT128" s="153" t="s">
        <v>34</v>
      </c>
      <c r="AU128" s="153" t="s">
        <v>69</v>
      </c>
      <c r="AV128" s="202"/>
      <c r="AW128" s="202"/>
      <c r="AX128" s="202"/>
      <c r="AY128" s="202"/>
      <c r="AZ128" s="178"/>
      <c r="BA128" s="311"/>
      <c r="BB128" s="12"/>
      <c r="BC128" s="227"/>
      <c r="BD128" s="275"/>
      <c r="BE128" s="12"/>
    </row>
    <row r="129" spans="1:57" ht="14.25" customHeight="1" thickBot="1" x14ac:dyDescent="0.3">
      <c r="A129" s="296"/>
      <c r="B129" s="12"/>
      <c r="C129" s="115"/>
      <c r="D129" s="188"/>
      <c r="E129" s="221">
        <f>BB123</f>
        <v>0.25</v>
      </c>
      <c r="F129" s="190">
        <f>IF($D$4=2024,1,0)</f>
        <v>0</v>
      </c>
      <c r="G129" s="178">
        <f>IF($B130="Yes",$C$5,$I131)</f>
        <v>12</v>
      </c>
      <c r="H129" s="191">
        <f>VLOOKUP(H130,'Lookup Tables'!$A$22:$B$33,2,FALSE)</f>
        <v>3</v>
      </c>
      <c r="I129" s="192">
        <f>VLOOKUP($E$4,'Lookup Tables'!$AB$46:$AN$58,MATCH($H129,'Lookup Tables'!$AB$46:$AN$46),FALSE)</f>
        <v>12</v>
      </c>
      <c r="J129" s="190">
        <f>12-I129</f>
        <v>0</v>
      </c>
      <c r="K129" s="190">
        <f>IF(G129&lt;J129,G129,J129)</f>
        <v>0</v>
      </c>
      <c r="L129" s="195">
        <f>IF(12-I129&gt;=1,1,0)</f>
        <v>0</v>
      </c>
      <c r="M129" s="202">
        <f>((('Rate Tables'!$D34*$E129)*PersonCalcYr2!$K129)*L129)*$F129</f>
        <v>0</v>
      </c>
      <c r="N129" s="197">
        <f>G129-(J129*L129)</f>
        <v>12</v>
      </c>
      <c r="O129" s="178"/>
      <c r="P129" s="197">
        <f>IF(N129&lt;0,N129*0,1)*N129</f>
        <v>12</v>
      </c>
      <c r="Q129" s="198">
        <f>VLOOKUP(H130,'Lookup Tables'!$A$22:$B$33,2,FALSE)+(K129*L129)</f>
        <v>3</v>
      </c>
      <c r="R129" s="199" t="str">
        <f>VLOOKUP(Q129,'Lookup Tables'!$A$38:$B$151,2,FALSE)</f>
        <v>Sept</v>
      </c>
      <c r="S129" s="191">
        <f>VLOOKUP(R129,'Lookup Tables'!$A$22:$B$33,2,FALSE)</f>
        <v>3</v>
      </c>
      <c r="T129" s="672">
        <f>VLOOKUP($E$4,'Lookup Tables'!$AQ$46:$BC$58,MATCH(PersonCalcYr2!$S129,'Lookup Tables'!$AQ$46:$BC$46),FALSE)</f>
        <v>10</v>
      </c>
      <c r="U129" s="190">
        <f>IF(P129&lt;T129,P129,T129)</f>
        <v>10</v>
      </c>
      <c r="V129" s="195">
        <f>IF((U129)&lt;=0,0,1)</f>
        <v>1</v>
      </c>
      <c r="W129" s="202">
        <f>(('Rate Tables'!$E34*$E129)*PersonCalcYr2!$U129)*$V129*$F129</f>
        <v>0</v>
      </c>
      <c r="X129" s="197">
        <f>P129-(U129*V129)</f>
        <v>2</v>
      </c>
      <c r="Y129" s="178"/>
      <c r="Z129" s="178"/>
      <c r="AA129" s="178"/>
      <c r="AB129" s="197">
        <f>IF(X129&lt;0,X129*0,1)*X129</f>
        <v>2</v>
      </c>
      <c r="AC129" s="203">
        <f>S129+(U129*V129)</f>
        <v>13</v>
      </c>
      <c r="AD129" s="199" t="str">
        <f>VLOOKUP(AC129,'Lookup Tables'!$A$38:$B$151,2,FALSE)</f>
        <v>July</v>
      </c>
      <c r="AE129" s="191">
        <f>VLOOKUP(AD129,'Lookup Tables'!$A$22:$B$33,2,FALSE)</f>
        <v>1</v>
      </c>
      <c r="AF129" s="222">
        <f>VLOOKUP($AE129,'Lookup Tables'!$AC$3:$AW$16,MATCH(PersonCalcYr2!$AB129,'Lookup Tables'!$AC$3:$AW$3),FALSE)</f>
        <v>2</v>
      </c>
      <c r="AG129" s="190">
        <f>IF(AB129&lt;AF129,AB129,AF129)</f>
        <v>2</v>
      </c>
      <c r="AH129" s="195">
        <f>IF((AG129)&lt;=0,0,1)</f>
        <v>1</v>
      </c>
      <c r="AI129" s="202">
        <f>(('Rate Tables'!$F34*$E129)*PersonCalcYr2!AG129)*AH129*$F129</f>
        <v>0</v>
      </c>
      <c r="AJ129" s="197">
        <f>AB129-(AG129*AH129)</f>
        <v>0</v>
      </c>
      <c r="AK129" s="178"/>
      <c r="AL129" s="178"/>
      <c r="AM129" s="197">
        <f>IF(AJ129&lt;0,AJ129*0,1)*AJ129</f>
        <v>0</v>
      </c>
      <c r="AN129" s="203">
        <f>AE129+(AG129*AH129)</f>
        <v>3</v>
      </c>
      <c r="AO129" s="199" t="str">
        <f>VLOOKUP(AN129,'Lookup Tables'!$A$38:$B$151,2,FALSE)</f>
        <v>Sept</v>
      </c>
      <c r="AP129" s="191">
        <f>VLOOKUP(AO129,'Lookup Tables'!$A$22:$B$33,2,FALSE)</f>
        <v>3</v>
      </c>
      <c r="AQ129" s="222">
        <f>VLOOKUP($AP129,'Lookup Tables'!$AC$3:$AW$16,MATCH(PersonCalcYr2!$AM129,'Lookup Tables'!$AC$3:$AW$3),FALSE)</f>
        <v>0</v>
      </c>
      <c r="AR129" s="190">
        <f>IF(AM129&lt;AQ129,AM129,AQ129)</f>
        <v>0</v>
      </c>
      <c r="AS129" s="195">
        <f>IF((AR129)&lt;=0,0,1)</f>
        <v>0</v>
      </c>
      <c r="AT129" s="202">
        <f>(('Rate Tables'!$G34*$E129)*PersonCalcYr2!AR129)*AS129*$F129</f>
        <v>0</v>
      </c>
      <c r="AU129" s="197">
        <f>AM129-(AR129*AS129)</f>
        <v>0</v>
      </c>
      <c r="AV129" s="202"/>
      <c r="AW129" s="202"/>
      <c r="AX129" s="202"/>
      <c r="AY129" s="202"/>
      <c r="AZ129" s="178"/>
      <c r="BA129" s="311"/>
      <c r="BB129" s="12"/>
      <c r="BC129" s="227"/>
      <c r="BD129" s="275"/>
      <c r="BE129" s="12"/>
    </row>
    <row r="130" spans="1:57" ht="14.25" customHeight="1" thickBot="1" x14ac:dyDescent="0.3">
      <c r="A130" s="377" t="s">
        <v>431</v>
      </c>
      <c r="B130" s="375" t="str">
        <f>Personnel!M44</f>
        <v>YES</v>
      </c>
      <c r="C130" s="12"/>
      <c r="D130" s="178"/>
      <c r="E130" s="178"/>
      <c r="F130" s="178"/>
      <c r="G130" s="178" t="s">
        <v>430</v>
      </c>
      <c r="H130" s="178" t="str">
        <f>IF(B130="yes",$C$4,A132)</f>
        <v>Sept</v>
      </c>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227"/>
      <c r="BB130" s="12"/>
      <c r="BC130" s="278" t="s">
        <v>415</v>
      </c>
      <c r="BD130" s="279">
        <f>BD123*BD127</f>
        <v>0</v>
      </c>
      <c r="BE130" s="398">
        <f>BD123+BD130+BE127</f>
        <v>0</v>
      </c>
    </row>
    <row r="131" spans="1:57" ht="14.25" customHeight="1" x14ac:dyDescent="0.25">
      <c r="A131" s="296" t="s">
        <v>439</v>
      </c>
      <c r="B131" s="114" t="s">
        <v>427</v>
      </c>
      <c r="C131" s="12"/>
      <c r="D131" s="178"/>
      <c r="E131" s="178"/>
      <c r="F131" s="178"/>
      <c r="G131" s="491" t="s">
        <v>555</v>
      </c>
      <c r="H131" s="11">
        <f>IF(H132&lt;$C$5,H132,$C$5)</f>
        <v>12</v>
      </c>
      <c r="I131" s="178">
        <f>IF(B132&lt;=H132,B132,H132)</f>
        <v>0</v>
      </c>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227"/>
      <c r="BB131" s="12"/>
      <c r="BC131" s="278"/>
      <c r="BD131" s="284"/>
      <c r="BE131" s="399"/>
    </row>
    <row r="132" spans="1:57" ht="14.25" customHeight="1" x14ac:dyDescent="0.25">
      <c r="A132" s="397">
        <f>Personnel!M45</f>
        <v>0</v>
      </c>
      <c r="B132" s="273">
        <f>Personnel!M46</f>
        <v>0</v>
      </c>
      <c r="C132" s="12"/>
      <c r="D132" s="178"/>
      <c r="E132" s="178"/>
      <c r="F132" s="178"/>
      <c r="G132" s="178"/>
      <c r="H132" s="175">
        <f>VLOOKUP($E$4,'Lookup Tables'!$L$46:$AA$58,MATCH($H$125,'Lookup Tables'!$L$46:$X$46),FALSE)</f>
        <v>12</v>
      </c>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227"/>
      <c r="BB132" s="12"/>
      <c r="BC132" s="278"/>
      <c r="BD132" s="284"/>
      <c r="BE132" s="369"/>
    </row>
    <row r="133" spans="1:57" ht="16.5" customHeight="1" thickBot="1" x14ac:dyDescent="0.3">
      <c r="A133" s="297"/>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280"/>
      <c r="BB133" s="149"/>
      <c r="BC133" s="149"/>
      <c r="BD133" s="281"/>
      <c r="BE133" s="149"/>
    </row>
    <row r="134" spans="1:57" ht="14.25" customHeight="1" x14ac:dyDescent="0.25">
      <c r="A134" s="298" t="s">
        <v>174</v>
      </c>
      <c r="B134" s="294" t="s">
        <v>176</v>
      </c>
      <c r="C134" s="180" t="s">
        <v>606</v>
      </c>
      <c r="D134" s="179"/>
      <c r="E134" s="218"/>
      <c r="F134" s="218"/>
      <c r="G134" s="181"/>
      <c r="H134" s="181"/>
      <c r="I134" s="181"/>
      <c r="J134" s="181"/>
      <c r="K134" s="181"/>
      <c r="L134" s="181"/>
      <c r="M134" s="181"/>
      <c r="N134" s="181"/>
      <c r="O134" s="181"/>
      <c r="P134" s="181"/>
      <c r="Q134" s="181"/>
      <c r="R134" s="181"/>
      <c r="S134" s="181"/>
      <c r="T134" s="181"/>
      <c r="U134" s="181"/>
      <c r="V134" s="181"/>
      <c r="W134" s="181"/>
      <c r="X134" s="181"/>
      <c r="Y134" s="181"/>
      <c r="Z134" s="493">
        <v>44378</v>
      </c>
      <c r="AA134" s="493">
        <v>44742</v>
      </c>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282"/>
      <c r="BB134" s="144"/>
      <c r="BC134" s="144"/>
      <c r="BD134" s="283"/>
      <c r="BE134" s="12"/>
    </row>
    <row r="135" spans="1:57" ht="14.25" customHeight="1" x14ac:dyDescent="0.25">
      <c r="A135" s="345">
        <f>Personnel!C50</f>
        <v>0</v>
      </c>
      <c r="B135" s="346" t="str">
        <f>Personnel!C49</f>
        <v>Prof/Admin</v>
      </c>
      <c r="C135" s="347">
        <f>Personnel!C51</f>
        <v>0</v>
      </c>
      <c r="D135" s="188"/>
      <c r="E135" s="205"/>
      <c r="F135" s="205"/>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306" t="s">
        <v>413</v>
      </c>
      <c r="BB135" s="348">
        <f>Personnel!O49</f>
        <v>0.2</v>
      </c>
      <c r="BC135" s="278" t="s">
        <v>96</v>
      </c>
      <c r="BD135" s="279">
        <f>(M137+W137+AI137+AT137+M139+W139+AI139+AT139+M141+W141+AI141+AT141)*BB138</f>
        <v>0</v>
      </c>
      <c r="BE135" s="369"/>
    </row>
    <row r="136" spans="1:57" ht="14.25" customHeight="1" x14ac:dyDescent="0.25">
      <c r="A136" s="296"/>
      <c r="B136" s="12"/>
      <c r="C136" s="117" t="s">
        <v>30</v>
      </c>
      <c r="D136" s="182"/>
      <c r="E136" s="153"/>
      <c r="F136" s="153" t="s">
        <v>42</v>
      </c>
      <c r="G136" s="153" t="s">
        <v>41</v>
      </c>
      <c r="H136" s="183" t="s">
        <v>77</v>
      </c>
      <c r="I136" s="219" t="s">
        <v>50</v>
      </c>
      <c r="J136" s="153" t="s">
        <v>52</v>
      </c>
      <c r="K136" s="153" t="s">
        <v>35</v>
      </c>
      <c r="L136" s="153" t="s">
        <v>82</v>
      </c>
      <c r="M136" s="153" t="s">
        <v>31</v>
      </c>
      <c r="N136" s="153" t="s">
        <v>69</v>
      </c>
      <c r="O136" s="178"/>
      <c r="P136" s="153" t="s">
        <v>72</v>
      </c>
      <c r="Q136" s="183" t="s">
        <v>80</v>
      </c>
      <c r="R136" s="187" t="s">
        <v>81</v>
      </c>
      <c r="S136" s="183" t="s">
        <v>77</v>
      </c>
      <c r="T136" s="673" t="s">
        <v>107</v>
      </c>
      <c r="U136" s="153" t="s">
        <v>53</v>
      </c>
      <c r="V136" s="153" t="s">
        <v>82</v>
      </c>
      <c r="W136" s="153" t="s">
        <v>32</v>
      </c>
      <c r="X136" s="153" t="s">
        <v>69</v>
      </c>
      <c r="Y136" s="178"/>
      <c r="Z136" s="178"/>
      <c r="AA136" s="178"/>
      <c r="AB136" s="153" t="s">
        <v>72</v>
      </c>
      <c r="AC136" s="153" t="s">
        <v>80</v>
      </c>
      <c r="AD136" s="187" t="s">
        <v>81</v>
      </c>
      <c r="AE136" s="183" t="s">
        <v>77</v>
      </c>
      <c r="AF136" s="220" t="s">
        <v>107</v>
      </c>
      <c r="AG136" s="153" t="s">
        <v>78</v>
      </c>
      <c r="AH136" s="153" t="s">
        <v>82</v>
      </c>
      <c r="AI136" s="153" t="s">
        <v>33</v>
      </c>
      <c r="AJ136" s="153" t="s">
        <v>69</v>
      </c>
      <c r="AK136" s="178"/>
      <c r="AL136" s="178"/>
      <c r="AM136" s="153" t="s">
        <v>72</v>
      </c>
      <c r="AN136" s="153" t="s">
        <v>80</v>
      </c>
      <c r="AO136" s="187" t="s">
        <v>81</v>
      </c>
      <c r="AP136" s="183" t="s">
        <v>77</v>
      </c>
      <c r="AQ136" s="220" t="s">
        <v>107</v>
      </c>
      <c r="AR136" s="153" t="s">
        <v>78</v>
      </c>
      <c r="AS136" s="153" t="s">
        <v>82</v>
      </c>
      <c r="AT136" s="153" t="s">
        <v>33</v>
      </c>
      <c r="AU136" s="153" t="s">
        <v>69</v>
      </c>
      <c r="AV136" s="153"/>
      <c r="AW136" s="153"/>
      <c r="AX136" s="153"/>
      <c r="AY136" s="153"/>
      <c r="AZ136" s="178"/>
      <c r="BA136" s="227"/>
      <c r="BB136" s="12"/>
      <c r="BC136" s="227"/>
      <c r="BD136" s="275"/>
      <c r="BE136" s="12" t="s">
        <v>418</v>
      </c>
    </row>
    <row r="137" spans="1:57" ht="14.25" customHeight="1" x14ac:dyDescent="0.25">
      <c r="A137" s="296"/>
      <c r="B137" s="12"/>
      <c r="C137" s="115"/>
      <c r="D137" s="188"/>
      <c r="E137" s="221">
        <f>BB135</f>
        <v>0.2</v>
      </c>
      <c r="F137" s="190">
        <f>IF($D$4=2022,1,0)</f>
        <v>0</v>
      </c>
      <c r="G137" s="178">
        <f>IF($B142="Yes",$C$5,$I143)</f>
        <v>12</v>
      </c>
      <c r="H137" s="191">
        <f>VLOOKUP(H142,'Lookup Tables'!$A$22:$B$33,2,FALSE)</f>
        <v>3</v>
      </c>
      <c r="I137" s="192">
        <f>VLOOKUP($E$4,'Lookup Tables'!$AB$46:$AN$58,MATCH($H137,'Lookup Tables'!$AB$46:$AN$46),FALSE)</f>
        <v>12</v>
      </c>
      <c r="J137" s="190">
        <f>12-I137</f>
        <v>0</v>
      </c>
      <c r="K137" s="190">
        <f>IF(G137&lt;J137,G137,J137)</f>
        <v>0</v>
      </c>
      <c r="L137" s="195">
        <f>IF(12-I137&gt;=1,1,0)</f>
        <v>0</v>
      </c>
      <c r="M137" s="202">
        <f>((('Rate Tables'!$B39*$E137)*PersonCalcYr2!$K137)*L137)*$F137</f>
        <v>0</v>
      </c>
      <c r="N137" s="197">
        <f>G137-(J137*L137)</f>
        <v>12</v>
      </c>
      <c r="O137" s="178"/>
      <c r="P137" s="197">
        <f>IF(N137&lt;0,N137*0,1)*N137</f>
        <v>12</v>
      </c>
      <c r="Q137" s="198">
        <f>VLOOKUP(H142,'Lookup Tables'!$A$22:$B$33,2,FALSE)+(K137*L137)</f>
        <v>3</v>
      </c>
      <c r="R137" s="199" t="str">
        <f>VLOOKUP(Q137,'Lookup Tables'!$A$38:$B$151,2,FALSE)</f>
        <v>Sept</v>
      </c>
      <c r="S137" s="191">
        <f>VLOOKUP(R137,'Lookup Tables'!$A$22:$B$33,2,FALSE)</f>
        <v>3</v>
      </c>
      <c r="T137" s="672">
        <f>VLOOKUP($E$4,'Lookup Tables'!$AQ$46:$BC$58,MATCH(PersonCalcYr2!$S137,'Lookup Tables'!$AQ$46:$BC$46),FALSE)</f>
        <v>10</v>
      </c>
      <c r="U137" s="190">
        <f>IF(P137&lt;T137,P137,T137)</f>
        <v>10</v>
      </c>
      <c r="V137" s="195">
        <f>IF((U137)&lt;=0,0,1)</f>
        <v>1</v>
      </c>
      <c r="W137" s="202">
        <f>(('Rate Tables'!$C39*$E137)*PersonCalcYr2!$U137)*$V137*$F137</f>
        <v>0</v>
      </c>
      <c r="X137" s="197">
        <f>P137-(U137*V137)</f>
        <v>2</v>
      </c>
      <c r="Y137" s="178"/>
      <c r="Z137" s="178"/>
      <c r="AA137" s="178"/>
      <c r="AB137" s="197">
        <f>IF(X137&lt;0,X137*0,1)*X137</f>
        <v>2</v>
      </c>
      <c r="AC137" s="203">
        <f>S137+(U137*V137)</f>
        <v>13</v>
      </c>
      <c r="AD137" s="199" t="str">
        <f>VLOOKUP(AC137,'Lookup Tables'!$A$38:$B$151,2,FALSE)</f>
        <v>July</v>
      </c>
      <c r="AE137" s="191">
        <f>VLOOKUP(AD137,'Lookup Tables'!$A$22:$B$33,2,FALSE)</f>
        <v>1</v>
      </c>
      <c r="AF137" s="222">
        <f>VLOOKUP($AE137,'Lookup Tables'!$AC$3:$AW$16,MATCH(PersonCalcYr2!$AB137,'Lookup Tables'!$AC$3:$AW$3),FALSE)</f>
        <v>2</v>
      </c>
      <c r="AG137" s="190">
        <f>IF(AB137&lt;AF137,AB137,AF137)</f>
        <v>2</v>
      </c>
      <c r="AH137" s="195">
        <f>IF((AG137)&lt;=0,0,1)</f>
        <v>1</v>
      </c>
      <c r="AI137" s="202">
        <f>(('Rate Tables'!$D39*$E137)*PersonCalcYr2!AG137)*AH137*$F137</f>
        <v>0</v>
      </c>
      <c r="AJ137" s="197">
        <f>AB137-(AG137*AH137)</f>
        <v>0</v>
      </c>
      <c r="AK137" s="178"/>
      <c r="AL137" s="178"/>
      <c r="AM137" s="197">
        <f>IF(AJ137&lt;0,AJ137*0,1)*AJ137</f>
        <v>0</v>
      </c>
      <c r="AN137" s="203">
        <f>AE137+(AG137*AH137)</f>
        <v>3</v>
      </c>
      <c r="AO137" s="199" t="str">
        <f>VLOOKUP(AN137,'Lookup Tables'!$A$38:$B$151,2,FALSE)</f>
        <v>Sept</v>
      </c>
      <c r="AP137" s="191">
        <f>VLOOKUP(AO137,'Lookup Tables'!$A$22:$B$33,2,FALSE)</f>
        <v>3</v>
      </c>
      <c r="AQ137" s="222">
        <f>VLOOKUP($AP137,'Lookup Tables'!$AC$3:$AW$16,MATCH(PersonCalcYr2!$AM137,'Lookup Tables'!$AC$3:$AW$3),FALSE)</f>
        <v>0</v>
      </c>
      <c r="AR137" s="190">
        <f>IF(AM137&lt;AQ137,AM137,AQ137)</f>
        <v>0</v>
      </c>
      <c r="AS137" s="195">
        <f>IF((AR137)&lt;=0,0,1)</f>
        <v>0</v>
      </c>
      <c r="AT137" s="202">
        <f>(('Rate Tables'!$E39*$E137)*PersonCalcYr2!AR137)*AS137*$F137</f>
        <v>0</v>
      </c>
      <c r="AU137" s="197">
        <f>AM137-(AR137*AS137)</f>
        <v>0</v>
      </c>
      <c r="AV137" s="202"/>
      <c r="AW137" s="202"/>
      <c r="AX137" s="202"/>
      <c r="AY137" s="202"/>
      <c r="AZ137" s="178"/>
      <c r="BA137" s="227"/>
      <c r="BB137" s="12"/>
      <c r="BC137" s="227" t="s">
        <v>451</v>
      </c>
      <c r="BD137" s="275">
        <f>(VLOOKUP($B135,'Rate Tables'!$O$2:$P$8,2,FALSE))</f>
        <v>0.3226</v>
      </c>
      <c r="BE137" s="372">
        <f>VLOOKUP('F&amp;ARatesCalc'!$B$1,'F&amp;ARatesCalc'!$A$3:$B$5,2,FALSE)</f>
        <v>0.56999999999999995</v>
      </c>
    </row>
    <row r="138" spans="1:57" ht="14.25" customHeight="1" x14ac:dyDescent="0.25">
      <c r="A138" s="296"/>
      <c r="B138" s="12"/>
      <c r="C138" s="117" t="s">
        <v>597</v>
      </c>
      <c r="D138" s="182"/>
      <c r="E138" s="153"/>
      <c r="F138" s="153" t="s">
        <v>42</v>
      </c>
      <c r="G138" s="153" t="s">
        <v>41</v>
      </c>
      <c r="H138" s="183" t="s">
        <v>77</v>
      </c>
      <c r="I138" s="219" t="s">
        <v>51</v>
      </c>
      <c r="J138" s="153" t="s">
        <v>110</v>
      </c>
      <c r="K138" s="153" t="s">
        <v>53</v>
      </c>
      <c r="L138" s="153" t="s">
        <v>82</v>
      </c>
      <c r="M138" s="153" t="s">
        <v>32</v>
      </c>
      <c r="N138" s="153" t="s">
        <v>69</v>
      </c>
      <c r="O138" s="178"/>
      <c r="P138" s="153" t="s">
        <v>72</v>
      </c>
      <c r="Q138" s="183" t="s">
        <v>80</v>
      </c>
      <c r="R138" s="187" t="s">
        <v>81</v>
      </c>
      <c r="S138" s="183" t="s">
        <v>77</v>
      </c>
      <c r="T138" s="673" t="s">
        <v>107</v>
      </c>
      <c r="U138" s="153" t="s">
        <v>78</v>
      </c>
      <c r="V138" s="153" t="s">
        <v>82</v>
      </c>
      <c r="W138" s="153" t="s">
        <v>33</v>
      </c>
      <c r="X138" s="153" t="s">
        <v>69</v>
      </c>
      <c r="Y138" s="178"/>
      <c r="Z138" s="178"/>
      <c r="AA138" s="178"/>
      <c r="AB138" s="153" t="s">
        <v>72</v>
      </c>
      <c r="AC138" s="153" t="s">
        <v>80</v>
      </c>
      <c r="AD138" s="187" t="s">
        <v>81</v>
      </c>
      <c r="AE138" s="183" t="s">
        <v>77</v>
      </c>
      <c r="AF138" s="220" t="s">
        <v>107</v>
      </c>
      <c r="AG138" s="153" t="s">
        <v>79</v>
      </c>
      <c r="AH138" s="153" t="s">
        <v>82</v>
      </c>
      <c r="AI138" s="153" t="s">
        <v>34</v>
      </c>
      <c r="AJ138" s="153" t="s">
        <v>69</v>
      </c>
      <c r="AK138" s="178"/>
      <c r="AL138" s="178"/>
      <c r="AM138" s="153" t="s">
        <v>72</v>
      </c>
      <c r="AN138" s="153" t="s">
        <v>80</v>
      </c>
      <c r="AO138" s="187" t="s">
        <v>81</v>
      </c>
      <c r="AP138" s="183" t="s">
        <v>77</v>
      </c>
      <c r="AQ138" s="220" t="s">
        <v>107</v>
      </c>
      <c r="AR138" s="153" t="s">
        <v>79</v>
      </c>
      <c r="AS138" s="153" t="s">
        <v>82</v>
      </c>
      <c r="AT138" s="153" t="s">
        <v>34</v>
      </c>
      <c r="AU138" s="153" t="s">
        <v>69</v>
      </c>
      <c r="AV138" s="153"/>
      <c r="AW138" s="153"/>
      <c r="AX138" s="153"/>
      <c r="AY138" s="153"/>
      <c r="AZ138" s="178"/>
      <c r="BA138" s="307" t="s">
        <v>450</v>
      </c>
      <c r="BB138" s="349">
        <f>IF(B135=0,0,1)</f>
        <v>1</v>
      </c>
      <c r="BC138" s="227" t="s">
        <v>452</v>
      </c>
      <c r="BD138" s="275">
        <f>_xlfn.IFNA(BD137,0)</f>
        <v>0.3226</v>
      </c>
      <c r="BE138" s="12" t="s">
        <v>417</v>
      </c>
    </row>
    <row r="139" spans="1:57" ht="14.25" customHeight="1" x14ac:dyDescent="0.25">
      <c r="A139" s="296"/>
      <c r="B139" s="12"/>
      <c r="C139" s="115"/>
      <c r="D139" s="188"/>
      <c r="E139" s="221">
        <f>BB135</f>
        <v>0.2</v>
      </c>
      <c r="F139" s="190">
        <f>IF($D$4=2023,1,0)</f>
        <v>1</v>
      </c>
      <c r="G139" s="178">
        <f>IF($B142="Yes",$C$5,$I143)</f>
        <v>12</v>
      </c>
      <c r="H139" s="191">
        <f>VLOOKUP(H142,'Lookup Tables'!$A$22:$B$33,2,FALSE)</f>
        <v>3</v>
      </c>
      <c r="I139" s="192">
        <f>VLOOKUP($E$4,'Lookup Tables'!$AB$46:$AN$58,MATCH($H139,'Lookup Tables'!$AB$46:$AN$46),FALSE)</f>
        <v>12</v>
      </c>
      <c r="J139" s="190">
        <f>12-I139</f>
        <v>0</v>
      </c>
      <c r="K139" s="190">
        <f>IF(G139&lt;J139,G139,J139)</f>
        <v>0</v>
      </c>
      <c r="L139" s="195">
        <f>IF(12-I139&gt;=1,1,0)</f>
        <v>0</v>
      </c>
      <c r="M139" s="202">
        <f>((('Rate Tables'!$C39*$E139)*PersonCalcYr2!$K139)*L139)*$F139</f>
        <v>0</v>
      </c>
      <c r="N139" s="197">
        <f>G139-(J139*L139)</f>
        <v>12</v>
      </c>
      <c r="O139" s="178"/>
      <c r="P139" s="197">
        <f>IF(N139&lt;0,N139*0,1)*N139</f>
        <v>12</v>
      </c>
      <c r="Q139" s="198">
        <f>VLOOKUP($H142,'Lookup Tables'!$A$22:$B$33,2,FALSE)+(K139*L139)</f>
        <v>3</v>
      </c>
      <c r="R139" s="199" t="str">
        <f>VLOOKUP(Q139,'Lookup Tables'!$A$38:$B$151,2,FALSE)</f>
        <v>Sept</v>
      </c>
      <c r="S139" s="191">
        <f>VLOOKUP(R139,'Lookup Tables'!$A$22:$B$33,2,FALSE)</f>
        <v>3</v>
      </c>
      <c r="T139" s="672">
        <f>VLOOKUP($E$4,'Lookup Tables'!$AQ$46:$BC$58,MATCH(PersonCalcYr2!$S139,'Lookup Tables'!$AQ$46:$BC$46),FALSE)</f>
        <v>10</v>
      </c>
      <c r="U139" s="190">
        <f>IF(P139&lt;T139,P139,T139)</f>
        <v>10</v>
      </c>
      <c r="V139" s="195">
        <f>IF((U139)&lt;=0,0,1)</f>
        <v>1</v>
      </c>
      <c r="W139" s="202">
        <f>(('Rate Tables'!$D39*$E139)*PersonCalcYr2!$U139)*$V139*$F139</f>
        <v>0</v>
      </c>
      <c r="X139" s="197">
        <f>P139-(U139*V139)</f>
        <v>2</v>
      </c>
      <c r="Y139" s="178"/>
      <c r="Z139" s="178"/>
      <c r="AA139" s="178"/>
      <c r="AB139" s="197">
        <f>IF(X139&lt;0,X139*0,1)*X139</f>
        <v>2</v>
      </c>
      <c r="AC139" s="203">
        <f>S139+(U139*V139)</f>
        <v>13</v>
      </c>
      <c r="AD139" s="199" t="str">
        <f>VLOOKUP(AC139,'Lookup Tables'!$A$38:$B$151,2,FALSE)</f>
        <v>July</v>
      </c>
      <c r="AE139" s="191">
        <f>VLOOKUP(AD139,'Lookup Tables'!$A$22:$B$33,2,FALSE)</f>
        <v>1</v>
      </c>
      <c r="AF139" s="222">
        <f>VLOOKUP($AE139,'Lookup Tables'!$AC$3:$AW$16,MATCH(PersonCalcYr2!$AB139,'Lookup Tables'!$AC$3:$AW$3),FALSE)</f>
        <v>2</v>
      </c>
      <c r="AG139" s="190">
        <f>IF(AB139&lt;AF139,AB139,AF139)</f>
        <v>2</v>
      </c>
      <c r="AH139" s="195">
        <f>IF((AG139)&lt;=0,0,1)</f>
        <v>1</v>
      </c>
      <c r="AI139" s="202">
        <f>(('Rate Tables'!$E39*$E139)*PersonCalcYr2!AG139)*AH139*$F139</f>
        <v>0</v>
      </c>
      <c r="AJ139" s="197">
        <f>AB139-(AG139*AH139)</f>
        <v>0</v>
      </c>
      <c r="AK139" s="178"/>
      <c r="AL139" s="178"/>
      <c r="AM139" s="197">
        <f>IF(AJ139&lt;0,AJ139*0,1)*AJ139</f>
        <v>0</v>
      </c>
      <c r="AN139" s="203">
        <f>AE139+(AG139*AH139)</f>
        <v>3</v>
      </c>
      <c r="AO139" s="199" t="str">
        <f>VLOOKUP(AN139,'Lookup Tables'!$A$38:$B$151,2,FALSE)</f>
        <v>Sept</v>
      </c>
      <c r="AP139" s="191">
        <f>VLOOKUP(AO139,'Lookup Tables'!$A$22:$B$33,2,FALSE)</f>
        <v>3</v>
      </c>
      <c r="AQ139" s="222">
        <f>VLOOKUP($AP139,'Lookup Tables'!$AC$3:$AW$16,MATCH(PersonCalcYr2!$AM139,'Lookup Tables'!$AC$3:$AW$3),FALSE)</f>
        <v>0</v>
      </c>
      <c r="AR139" s="190">
        <f>IF(AM139&lt;AQ139,AM139,AQ139)</f>
        <v>0</v>
      </c>
      <c r="AS139" s="195">
        <f>IF((AR139)&lt;=0,0,1)</f>
        <v>0</v>
      </c>
      <c r="AT139" s="202">
        <f>(('Rate Tables'!$F39*$E139)*PersonCalcYr2!AR139)*AS139*$F139</f>
        <v>0</v>
      </c>
      <c r="AU139" s="197">
        <f>AM139-(AR139*AS139)</f>
        <v>0</v>
      </c>
      <c r="AV139" s="202"/>
      <c r="AW139" s="202"/>
      <c r="AX139" s="202"/>
      <c r="AY139" s="202"/>
      <c r="AZ139" s="178"/>
      <c r="BA139" s="311"/>
      <c r="BB139" s="12"/>
      <c r="BC139" s="227" t="s">
        <v>453</v>
      </c>
      <c r="BD139" s="275">
        <f>IF(BD138=0,0,BD137)</f>
        <v>0.3226</v>
      </c>
      <c r="BE139" s="12">
        <f>(BD135+BD142)*BE137</f>
        <v>0</v>
      </c>
    </row>
    <row r="140" spans="1:57" ht="14.25" customHeight="1" x14ac:dyDescent="0.25">
      <c r="A140" s="296"/>
      <c r="B140" s="12"/>
      <c r="C140" s="117" t="s">
        <v>664</v>
      </c>
      <c r="D140" s="182"/>
      <c r="E140" s="153"/>
      <c r="F140" s="153" t="s">
        <v>42</v>
      </c>
      <c r="G140" s="153" t="s">
        <v>41</v>
      </c>
      <c r="H140" s="183" t="s">
        <v>77</v>
      </c>
      <c r="I140" s="219" t="s">
        <v>51</v>
      </c>
      <c r="J140" s="153" t="s">
        <v>110</v>
      </c>
      <c r="K140" s="153" t="s">
        <v>53</v>
      </c>
      <c r="L140" s="153" t="s">
        <v>82</v>
      </c>
      <c r="M140" s="153" t="s">
        <v>32</v>
      </c>
      <c r="N140" s="153" t="s">
        <v>69</v>
      </c>
      <c r="O140" s="178"/>
      <c r="P140" s="153" t="s">
        <v>72</v>
      </c>
      <c r="Q140" s="183" t="s">
        <v>80</v>
      </c>
      <c r="R140" s="187" t="s">
        <v>81</v>
      </c>
      <c r="S140" s="183" t="s">
        <v>77</v>
      </c>
      <c r="T140" s="673" t="s">
        <v>107</v>
      </c>
      <c r="U140" s="153" t="s">
        <v>78</v>
      </c>
      <c r="V140" s="153" t="s">
        <v>82</v>
      </c>
      <c r="W140" s="153" t="s">
        <v>33</v>
      </c>
      <c r="X140" s="153" t="s">
        <v>69</v>
      </c>
      <c r="Y140" s="178"/>
      <c r="Z140" s="178"/>
      <c r="AA140" s="178"/>
      <c r="AB140" s="153" t="s">
        <v>72</v>
      </c>
      <c r="AC140" s="153" t="s">
        <v>80</v>
      </c>
      <c r="AD140" s="187" t="s">
        <v>81</v>
      </c>
      <c r="AE140" s="183" t="s">
        <v>77</v>
      </c>
      <c r="AF140" s="220" t="s">
        <v>107</v>
      </c>
      <c r="AG140" s="153" t="s">
        <v>79</v>
      </c>
      <c r="AH140" s="153" t="s">
        <v>82</v>
      </c>
      <c r="AI140" s="153" t="s">
        <v>34</v>
      </c>
      <c r="AJ140" s="153" t="s">
        <v>69</v>
      </c>
      <c r="AK140" s="178"/>
      <c r="AL140" s="178"/>
      <c r="AM140" s="153" t="s">
        <v>72</v>
      </c>
      <c r="AN140" s="153" t="s">
        <v>80</v>
      </c>
      <c r="AO140" s="187" t="s">
        <v>81</v>
      </c>
      <c r="AP140" s="183" t="s">
        <v>77</v>
      </c>
      <c r="AQ140" s="220" t="s">
        <v>107</v>
      </c>
      <c r="AR140" s="153" t="s">
        <v>79</v>
      </c>
      <c r="AS140" s="153" t="s">
        <v>82</v>
      </c>
      <c r="AT140" s="153" t="s">
        <v>34</v>
      </c>
      <c r="AU140" s="153" t="s">
        <v>69</v>
      </c>
      <c r="AV140" s="202"/>
      <c r="AW140" s="202"/>
      <c r="AX140" s="202"/>
      <c r="AY140" s="202"/>
      <c r="AZ140" s="178"/>
      <c r="BA140" s="311"/>
      <c r="BB140" s="12"/>
      <c r="BC140" s="227"/>
      <c r="BD140" s="275"/>
      <c r="BE140" s="12"/>
    </row>
    <row r="141" spans="1:57" ht="14.25" customHeight="1" thickBot="1" x14ac:dyDescent="0.3">
      <c r="A141" s="296"/>
      <c r="B141" s="12"/>
      <c r="C141" s="115"/>
      <c r="D141" s="188"/>
      <c r="E141" s="221">
        <f>BB135</f>
        <v>0.2</v>
      </c>
      <c r="F141" s="190">
        <f>IF($D$4=2024,1,0)</f>
        <v>0</v>
      </c>
      <c r="G141" s="178">
        <f>IF($B142="Yes",$C$5,$I143)</f>
        <v>12</v>
      </c>
      <c r="H141" s="191">
        <f>VLOOKUP(H142,'Lookup Tables'!$A$22:$B$33,2,FALSE)</f>
        <v>3</v>
      </c>
      <c r="I141" s="192">
        <f>VLOOKUP($E$4,'Lookup Tables'!$AB$46:$AN$58,MATCH($H141,'Lookup Tables'!$AB$46:$AN$46),FALSE)</f>
        <v>12</v>
      </c>
      <c r="J141" s="190">
        <f>12-I141</f>
        <v>0</v>
      </c>
      <c r="K141" s="190">
        <f>IF(G141&lt;J141,G141,J141)</f>
        <v>0</v>
      </c>
      <c r="L141" s="195">
        <f>IF(12-I141&gt;=1,1,0)</f>
        <v>0</v>
      </c>
      <c r="M141" s="202">
        <f>((('Rate Tables'!$D39*$E141)*PersonCalcYr2!$K141)*L141)*$F141</f>
        <v>0</v>
      </c>
      <c r="N141" s="197">
        <f>G141-(J141*L141)</f>
        <v>12</v>
      </c>
      <c r="O141" s="178"/>
      <c r="P141" s="197">
        <f>IF(N141&lt;0,N141*0,1)*N141</f>
        <v>12</v>
      </c>
      <c r="Q141" s="198">
        <f>VLOOKUP($H142,'Lookup Tables'!$A$22:$B$33,2,FALSE)+(K141*L141)</f>
        <v>3</v>
      </c>
      <c r="R141" s="199" t="str">
        <f>VLOOKUP(Q141,'Lookup Tables'!$A$38:$B$151,2,FALSE)</f>
        <v>Sept</v>
      </c>
      <c r="S141" s="191">
        <f>VLOOKUP(R141,'Lookup Tables'!$A$22:$B$33,2,FALSE)</f>
        <v>3</v>
      </c>
      <c r="T141" s="672">
        <f>VLOOKUP($E$4,'Lookup Tables'!$AQ$46:$BC$58,MATCH(PersonCalcYr2!$S141,'Lookup Tables'!$AQ$46:$BC$46),FALSE)</f>
        <v>10</v>
      </c>
      <c r="U141" s="190">
        <f>IF(P141&lt;T141,P141,T141)</f>
        <v>10</v>
      </c>
      <c r="V141" s="195">
        <f>IF((U141)&lt;=0,0,1)</f>
        <v>1</v>
      </c>
      <c r="W141" s="202">
        <f>(('Rate Tables'!$E39*$E141)*PersonCalcYr2!$U141)*$V141*$F141</f>
        <v>0</v>
      </c>
      <c r="X141" s="197">
        <f>P141-(U141*V141)</f>
        <v>2</v>
      </c>
      <c r="Y141" s="178"/>
      <c r="Z141" s="178"/>
      <c r="AA141" s="178"/>
      <c r="AB141" s="197">
        <f>IF(X141&lt;0,X141*0,1)*X141</f>
        <v>2</v>
      </c>
      <c r="AC141" s="203">
        <f>S141+(U141*V141)</f>
        <v>13</v>
      </c>
      <c r="AD141" s="199" t="str">
        <f>VLOOKUP(AC141,'Lookup Tables'!$A$38:$B$151,2,FALSE)</f>
        <v>July</v>
      </c>
      <c r="AE141" s="191">
        <f>VLOOKUP(AD141,'Lookup Tables'!$A$22:$B$33,2,FALSE)</f>
        <v>1</v>
      </c>
      <c r="AF141" s="222">
        <f>VLOOKUP($AE141,'Lookup Tables'!$AC$3:$AW$16,MATCH(PersonCalcYr2!$AB141,'Lookup Tables'!$AC$3:$AW$3),FALSE)</f>
        <v>2</v>
      </c>
      <c r="AG141" s="190">
        <f>IF(AB141&lt;AF141,AB141,AF141)</f>
        <v>2</v>
      </c>
      <c r="AH141" s="195">
        <f>IF((AG141)&lt;=0,0,1)</f>
        <v>1</v>
      </c>
      <c r="AI141" s="202">
        <f>(('Rate Tables'!$F39*$E141)*PersonCalcYr2!AG141)*AH141*$F141</f>
        <v>0</v>
      </c>
      <c r="AJ141" s="197">
        <f>AB141-(AG141*AH141)</f>
        <v>0</v>
      </c>
      <c r="AK141" s="178"/>
      <c r="AL141" s="178"/>
      <c r="AM141" s="197">
        <f>IF(AJ141&lt;0,AJ141*0,1)*AJ141</f>
        <v>0</v>
      </c>
      <c r="AN141" s="203">
        <f>AE141+(AG141*AH141)</f>
        <v>3</v>
      </c>
      <c r="AO141" s="199" t="str">
        <f>VLOOKUP(AN141,'Lookup Tables'!$A$38:$B$151,2,FALSE)</f>
        <v>Sept</v>
      </c>
      <c r="AP141" s="191">
        <f>VLOOKUP(AO141,'Lookup Tables'!$A$22:$B$33,2,FALSE)</f>
        <v>3</v>
      </c>
      <c r="AQ141" s="222">
        <f>VLOOKUP($AP141,'Lookup Tables'!$AC$3:$AW$16,MATCH(PersonCalcYr2!$AM141,'Lookup Tables'!$AC$3:$AW$3),FALSE)</f>
        <v>0</v>
      </c>
      <c r="AR141" s="190">
        <f>IF(AM141&lt;AQ141,AM141,AQ141)</f>
        <v>0</v>
      </c>
      <c r="AS141" s="195">
        <f>IF((AR141)&lt;=0,0,1)</f>
        <v>0</v>
      </c>
      <c r="AT141" s="202">
        <f>(('Rate Tables'!$G39*$E141)*PersonCalcYr2!AR141)*AS141*$F141</f>
        <v>0</v>
      </c>
      <c r="AU141" s="197">
        <f>AM141-(AR141*AS141)</f>
        <v>0</v>
      </c>
      <c r="AV141" s="202"/>
      <c r="AW141" s="202"/>
      <c r="AX141" s="202"/>
      <c r="AY141" s="202"/>
      <c r="AZ141" s="178"/>
      <c r="BA141" s="311"/>
      <c r="BB141" s="12"/>
      <c r="BC141" s="227"/>
      <c r="BD141" s="275"/>
      <c r="BE141" s="12"/>
    </row>
    <row r="142" spans="1:57" ht="14.25" customHeight="1" thickBot="1" x14ac:dyDescent="0.3">
      <c r="A142" s="377" t="s">
        <v>431</v>
      </c>
      <c r="B142" s="375" t="str">
        <f>Personnel!M49</f>
        <v>YES</v>
      </c>
      <c r="C142" s="12"/>
      <c r="D142" s="178"/>
      <c r="E142" s="178"/>
      <c r="F142" s="178"/>
      <c r="G142" s="178" t="s">
        <v>430</v>
      </c>
      <c r="H142" s="178" t="str">
        <f>IF(B142="yes",$C$4,A144)</f>
        <v>Sept</v>
      </c>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53"/>
      <c r="AK142" s="178"/>
      <c r="AL142" s="178"/>
      <c r="AM142" s="178"/>
      <c r="AN142" s="178"/>
      <c r="AO142" s="178"/>
      <c r="AP142" s="178"/>
      <c r="AQ142" s="178"/>
      <c r="AR142" s="178"/>
      <c r="AS142" s="178"/>
      <c r="AT142" s="178"/>
      <c r="AU142" s="178"/>
      <c r="AV142" s="178"/>
      <c r="AW142" s="178"/>
      <c r="AX142" s="178"/>
      <c r="AY142" s="178"/>
      <c r="AZ142" s="178"/>
      <c r="BA142" s="227"/>
      <c r="BB142" s="12"/>
      <c r="BC142" s="278" t="s">
        <v>415</v>
      </c>
      <c r="BD142" s="279">
        <f>BD135*BD139</f>
        <v>0</v>
      </c>
      <c r="BE142" s="398">
        <f>BD135+BD142+BE139</f>
        <v>0</v>
      </c>
    </row>
    <row r="143" spans="1:57" ht="14.25" customHeight="1" x14ac:dyDescent="0.25">
      <c r="A143" s="296" t="s">
        <v>439</v>
      </c>
      <c r="B143" s="114" t="s">
        <v>427</v>
      </c>
      <c r="C143" s="12"/>
      <c r="D143" s="178"/>
      <c r="E143" s="178"/>
      <c r="F143" s="178"/>
      <c r="G143" s="491" t="s">
        <v>555</v>
      </c>
      <c r="H143" s="11">
        <f>IF(H144&lt;$C$5,H144,$C$5)</f>
        <v>12</v>
      </c>
      <c r="I143" s="178">
        <f>IF(B144&lt;=H144,B144,H144)</f>
        <v>0</v>
      </c>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97"/>
      <c r="AK143" s="178"/>
      <c r="AL143" s="178"/>
      <c r="AM143" s="178"/>
      <c r="AN143" s="178"/>
      <c r="AO143" s="178"/>
      <c r="AP143" s="178"/>
      <c r="AQ143" s="178"/>
      <c r="AR143" s="178"/>
      <c r="AS143" s="178"/>
      <c r="AT143" s="178"/>
      <c r="AU143" s="178"/>
      <c r="AV143" s="178"/>
      <c r="AW143" s="178"/>
      <c r="AX143" s="178"/>
      <c r="AY143" s="178"/>
      <c r="AZ143" s="178"/>
      <c r="BA143" s="227"/>
      <c r="BB143" s="12"/>
      <c r="BC143" s="278"/>
      <c r="BD143" s="284"/>
      <c r="BE143" s="399"/>
    </row>
    <row r="144" spans="1:57" ht="14.25" customHeight="1" x14ac:dyDescent="0.25">
      <c r="A144" s="397">
        <f>Personnel!M50</f>
        <v>0</v>
      </c>
      <c r="B144" s="273">
        <f>Personnel!M51</f>
        <v>0</v>
      </c>
      <c r="C144" s="12"/>
      <c r="D144" s="178"/>
      <c r="E144" s="178"/>
      <c r="F144" s="178"/>
      <c r="G144" s="178"/>
      <c r="H144" s="175">
        <f>VLOOKUP($E$4,'Lookup Tables'!$L$46:$AA$58,MATCH($H$137,'Lookup Tables'!$L$46:$X$46),FALSE)</f>
        <v>12</v>
      </c>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8"/>
      <c r="AZ144" s="178"/>
      <c r="BA144" s="227"/>
      <c r="BB144" s="12"/>
      <c r="BC144" s="278"/>
      <c r="BD144" s="284"/>
      <c r="BE144" s="369"/>
    </row>
    <row r="145" spans="1:57" ht="6.75" customHeight="1" thickBot="1" x14ac:dyDescent="0.3">
      <c r="A145" s="297"/>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280"/>
      <c r="BB145" s="149"/>
      <c r="BC145" s="149"/>
      <c r="BD145" s="281"/>
      <c r="BE145" s="149"/>
    </row>
    <row r="146" spans="1:57" ht="14.25" customHeight="1" x14ac:dyDescent="0.25">
      <c r="A146" s="298" t="s">
        <v>174</v>
      </c>
      <c r="B146" s="294" t="s">
        <v>189</v>
      </c>
      <c r="C146" s="180" t="s">
        <v>606</v>
      </c>
      <c r="D146" s="179"/>
      <c r="E146" s="218"/>
      <c r="F146" s="218"/>
      <c r="G146" s="181"/>
      <c r="H146" s="181"/>
      <c r="I146" s="181"/>
      <c r="J146" s="181"/>
      <c r="K146" s="181"/>
      <c r="L146" s="181"/>
      <c r="M146" s="181"/>
      <c r="N146" s="181"/>
      <c r="O146" s="181"/>
      <c r="P146" s="181"/>
      <c r="Q146" s="181"/>
      <c r="R146" s="181"/>
      <c r="S146" s="181"/>
      <c r="T146" s="181"/>
      <c r="U146" s="181"/>
      <c r="V146" s="181"/>
      <c r="W146" s="181"/>
      <c r="X146" s="181"/>
      <c r="Y146" s="181"/>
      <c r="Z146" s="493">
        <v>44378</v>
      </c>
      <c r="AA146" s="493">
        <v>44742</v>
      </c>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282"/>
      <c r="BB146" s="144"/>
      <c r="BC146" s="144"/>
      <c r="BD146" s="283"/>
      <c r="BE146" s="12"/>
    </row>
    <row r="147" spans="1:57" ht="14.25" customHeight="1" x14ac:dyDescent="0.25">
      <c r="A147" s="345">
        <f>Personnel!C55</f>
        <v>0</v>
      </c>
      <c r="B147" s="346" t="str">
        <f>Personnel!C54</f>
        <v>Prof/Admin</v>
      </c>
      <c r="C147" s="347">
        <f>Personnel!C56</f>
        <v>0</v>
      </c>
      <c r="D147" s="188"/>
      <c r="E147" s="205"/>
      <c r="F147" s="205"/>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306" t="s">
        <v>413</v>
      </c>
      <c r="BB147" s="348">
        <f>Personnel!O54</f>
        <v>1</v>
      </c>
      <c r="BC147" s="278" t="s">
        <v>96</v>
      </c>
      <c r="BD147" s="279">
        <f>(M149+W149+AI149+AT149+M151+W151+AI151+AT151+M153+W153+AI153+AT153)*BB150</f>
        <v>0</v>
      </c>
      <c r="BE147" s="369"/>
    </row>
    <row r="148" spans="1:57" ht="14.25" customHeight="1" x14ac:dyDescent="0.25">
      <c r="A148" s="296"/>
      <c r="B148" s="12"/>
      <c r="C148" s="117" t="s">
        <v>30</v>
      </c>
      <c r="D148" s="182"/>
      <c r="E148" s="153"/>
      <c r="F148" s="153" t="s">
        <v>42</v>
      </c>
      <c r="G148" s="153" t="s">
        <v>41</v>
      </c>
      <c r="H148" s="183" t="s">
        <v>77</v>
      </c>
      <c r="I148" s="219" t="s">
        <v>50</v>
      </c>
      <c r="J148" s="153" t="s">
        <v>52</v>
      </c>
      <c r="K148" s="153" t="s">
        <v>35</v>
      </c>
      <c r="L148" s="153" t="s">
        <v>82</v>
      </c>
      <c r="M148" s="153" t="s">
        <v>31</v>
      </c>
      <c r="N148" s="153" t="s">
        <v>69</v>
      </c>
      <c r="O148" s="178"/>
      <c r="P148" s="153" t="s">
        <v>72</v>
      </c>
      <c r="Q148" s="183" t="s">
        <v>80</v>
      </c>
      <c r="R148" s="187" t="s">
        <v>81</v>
      </c>
      <c r="S148" s="183" t="s">
        <v>77</v>
      </c>
      <c r="T148" s="673" t="s">
        <v>107</v>
      </c>
      <c r="U148" s="153" t="s">
        <v>53</v>
      </c>
      <c r="V148" s="153" t="s">
        <v>82</v>
      </c>
      <c r="W148" s="153" t="s">
        <v>32</v>
      </c>
      <c r="X148" s="153" t="s">
        <v>69</v>
      </c>
      <c r="Y148" s="178"/>
      <c r="Z148" s="178"/>
      <c r="AA148" s="178"/>
      <c r="AB148" s="153" t="s">
        <v>72</v>
      </c>
      <c r="AC148" s="153" t="s">
        <v>80</v>
      </c>
      <c r="AD148" s="187" t="s">
        <v>81</v>
      </c>
      <c r="AE148" s="183" t="s">
        <v>77</v>
      </c>
      <c r="AF148" s="220" t="s">
        <v>107</v>
      </c>
      <c r="AG148" s="153" t="s">
        <v>78</v>
      </c>
      <c r="AH148" s="153" t="s">
        <v>82</v>
      </c>
      <c r="AI148" s="153" t="s">
        <v>33</v>
      </c>
      <c r="AJ148" s="153" t="s">
        <v>69</v>
      </c>
      <c r="AK148" s="178"/>
      <c r="AL148" s="178"/>
      <c r="AM148" s="153" t="s">
        <v>72</v>
      </c>
      <c r="AN148" s="153" t="s">
        <v>80</v>
      </c>
      <c r="AO148" s="187" t="s">
        <v>81</v>
      </c>
      <c r="AP148" s="183" t="s">
        <v>77</v>
      </c>
      <c r="AQ148" s="220" t="s">
        <v>107</v>
      </c>
      <c r="AR148" s="153" t="s">
        <v>78</v>
      </c>
      <c r="AS148" s="153" t="s">
        <v>82</v>
      </c>
      <c r="AT148" s="153" t="s">
        <v>33</v>
      </c>
      <c r="AU148" s="153" t="s">
        <v>69</v>
      </c>
      <c r="AV148" s="153"/>
      <c r="AW148" s="153"/>
      <c r="AX148" s="153"/>
      <c r="AY148" s="153"/>
      <c r="AZ148" s="178"/>
      <c r="BA148" s="227"/>
      <c r="BB148" s="12"/>
      <c r="BC148" s="227"/>
      <c r="BD148" s="275"/>
      <c r="BE148" s="12" t="s">
        <v>418</v>
      </c>
    </row>
    <row r="149" spans="1:57" ht="14.25" customHeight="1" x14ac:dyDescent="0.25">
      <c r="A149" s="296"/>
      <c r="B149" s="12"/>
      <c r="C149" s="115"/>
      <c r="D149" s="188"/>
      <c r="E149" s="221">
        <f>BB147</f>
        <v>1</v>
      </c>
      <c r="F149" s="190">
        <f>IF($D$4=2022,1,0)</f>
        <v>0</v>
      </c>
      <c r="G149" s="178">
        <f>IF($B154="Yes",$C$5,$I155)</f>
        <v>12</v>
      </c>
      <c r="H149" s="191">
        <f>VLOOKUP(H154,'Lookup Tables'!$A$22:$B$33,2,FALSE)</f>
        <v>3</v>
      </c>
      <c r="I149" s="192">
        <f>VLOOKUP($E$4,'Lookup Tables'!$AB$46:$AN$58,MATCH($H149,'Lookup Tables'!$AB$46:$AN$46),FALSE)</f>
        <v>12</v>
      </c>
      <c r="J149" s="190">
        <f>12-I149</f>
        <v>0</v>
      </c>
      <c r="K149" s="190">
        <f>IF(G149&lt;J149,G149,J149)</f>
        <v>0</v>
      </c>
      <c r="L149" s="195">
        <f>IF(12-I149&gt;=1,1,0)</f>
        <v>0</v>
      </c>
      <c r="M149" s="202">
        <f>((('Rate Tables'!$B44*$E149)*PersonCalcYr2!$K149)*L149)*$F149</f>
        <v>0</v>
      </c>
      <c r="N149" s="197">
        <f>G149-(J149*L149)</f>
        <v>12</v>
      </c>
      <c r="O149" s="178"/>
      <c r="P149" s="197">
        <f>IF(N149&lt;0,N149*0,1)*N149</f>
        <v>12</v>
      </c>
      <c r="Q149" s="198">
        <f>VLOOKUP($H154,'Lookup Tables'!$A$22:$B$33,2,FALSE)+(K149*L149)</f>
        <v>3</v>
      </c>
      <c r="R149" s="199" t="str">
        <f>VLOOKUP(Q149,'Lookup Tables'!$A$38:$B$151,2,FALSE)</f>
        <v>Sept</v>
      </c>
      <c r="S149" s="191">
        <f>VLOOKUP(R149,'Lookup Tables'!$A$22:$B$33,2,FALSE)</f>
        <v>3</v>
      </c>
      <c r="T149" s="672">
        <f>VLOOKUP($E$4,'Lookup Tables'!$AQ$46:$BC$58,MATCH(PersonCalcYr2!$S149,'Lookup Tables'!$AQ$46:$BC$46),FALSE)</f>
        <v>10</v>
      </c>
      <c r="U149" s="190">
        <f>IF(P149&lt;T149,P149,T149)</f>
        <v>10</v>
      </c>
      <c r="V149" s="195">
        <f>IF((U149)&lt;=0,0,1)</f>
        <v>1</v>
      </c>
      <c r="W149" s="202">
        <f>(('Rate Tables'!$C44*$E149)*PersonCalcYr2!$U149)*$V149*$F149</f>
        <v>0</v>
      </c>
      <c r="X149" s="197">
        <f>P149-(U149*V149)</f>
        <v>2</v>
      </c>
      <c r="Y149" s="178"/>
      <c r="Z149" s="178"/>
      <c r="AA149" s="178"/>
      <c r="AB149" s="197">
        <f>IF(X149&lt;0,X149*0,1)*X149</f>
        <v>2</v>
      </c>
      <c r="AC149" s="203">
        <f>S149+(U149*V149)</f>
        <v>13</v>
      </c>
      <c r="AD149" s="199" t="str">
        <f>VLOOKUP(AC149,'Lookup Tables'!$A$38:$B$151,2,FALSE)</f>
        <v>July</v>
      </c>
      <c r="AE149" s="191">
        <f>VLOOKUP(AD149,'Lookup Tables'!$A$22:$B$33,2,FALSE)</f>
        <v>1</v>
      </c>
      <c r="AF149" s="222">
        <f>VLOOKUP($AE149,'Lookup Tables'!$AC$3:$AW$16,MATCH(PersonCalcYr2!$AB149,'Lookup Tables'!$AC$3:$AW$3),FALSE)</f>
        <v>2</v>
      </c>
      <c r="AG149" s="190">
        <f>IF(AB149&lt;AF149,AB149,AF149)</f>
        <v>2</v>
      </c>
      <c r="AH149" s="195">
        <f>IF((AG149)&lt;=0,0,1)</f>
        <v>1</v>
      </c>
      <c r="AI149" s="202">
        <f>(('Rate Tables'!$D44*$E149)*PersonCalcYr2!AG149)*AH149*$F149</f>
        <v>0</v>
      </c>
      <c r="AJ149" s="197">
        <f>AB149-(AG149*AH149)</f>
        <v>0</v>
      </c>
      <c r="AK149" s="178"/>
      <c r="AL149" s="178"/>
      <c r="AM149" s="197">
        <f>IF(AJ149&lt;0,AJ149*0,1)*AJ149</f>
        <v>0</v>
      </c>
      <c r="AN149" s="203">
        <f>AE149+(AG149*AH149)</f>
        <v>3</v>
      </c>
      <c r="AO149" s="199" t="str">
        <f>VLOOKUP(AN149,'Lookup Tables'!$A$38:$B$151,2,FALSE)</f>
        <v>Sept</v>
      </c>
      <c r="AP149" s="191">
        <f>VLOOKUP(AO149,'Lookup Tables'!$A$22:$B$33,2,FALSE)</f>
        <v>3</v>
      </c>
      <c r="AQ149" s="222">
        <f>VLOOKUP($AP149,'Lookup Tables'!$AC$3:$AW$16,MATCH(PersonCalcYr2!$AM149,'Lookup Tables'!$AC$3:$AW$3),FALSE)</f>
        <v>0</v>
      </c>
      <c r="AR149" s="190">
        <f>IF(AM149&lt;AQ149,AM149,AQ149)</f>
        <v>0</v>
      </c>
      <c r="AS149" s="195">
        <f>IF((AR149)&lt;=0,0,1)</f>
        <v>0</v>
      </c>
      <c r="AT149" s="202">
        <f>(('Rate Tables'!$E44*$E149)*PersonCalcYr2!AR149)*AS149*$F149</f>
        <v>0</v>
      </c>
      <c r="AU149" s="197">
        <f>AM149-(AR149*AS149)</f>
        <v>0</v>
      </c>
      <c r="AV149" s="202"/>
      <c r="AW149" s="202"/>
      <c r="AX149" s="202"/>
      <c r="AY149" s="202"/>
      <c r="AZ149" s="178"/>
      <c r="BA149" s="227"/>
      <c r="BB149" s="12"/>
      <c r="BC149" s="227" t="s">
        <v>451</v>
      </c>
      <c r="BD149" s="275">
        <f>(VLOOKUP($B147,'Rate Tables'!$O$2:$P$8,2,FALSE))</f>
        <v>0.3226</v>
      </c>
      <c r="BE149" s="372">
        <f>VLOOKUP('F&amp;ARatesCalc'!$B$1,'F&amp;ARatesCalc'!$A$3:$B$5,2,FALSE)</f>
        <v>0.56999999999999995</v>
      </c>
    </row>
    <row r="150" spans="1:57" ht="14.25" customHeight="1" x14ac:dyDescent="0.25">
      <c r="A150" s="296"/>
      <c r="B150" s="12"/>
      <c r="C150" s="117" t="s">
        <v>597</v>
      </c>
      <c r="D150" s="182"/>
      <c r="E150" s="153"/>
      <c r="F150" s="153" t="s">
        <v>42</v>
      </c>
      <c r="G150" s="153" t="s">
        <v>41</v>
      </c>
      <c r="H150" s="183" t="s">
        <v>77</v>
      </c>
      <c r="I150" s="219" t="s">
        <v>51</v>
      </c>
      <c r="J150" s="153" t="s">
        <v>110</v>
      </c>
      <c r="K150" s="153" t="s">
        <v>53</v>
      </c>
      <c r="L150" s="153" t="s">
        <v>82</v>
      </c>
      <c r="M150" s="153" t="s">
        <v>32</v>
      </c>
      <c r="N150" s="153" t="s">
        <v>69</v>
      </c>
      <c r="O150" s="178"/>
      <c r="P150" s="153" t="s">
        <v>72</v>
      </c>
      <c r="Q150" s="183" t="s">
        <v>80</v>
      </c>
      <c r="R150" s="187" t="s">
        <v>81</v>
      </c>
      <c r="S150" s="183" t="s">
        <v>77</v>
      </c>
      <c r="T150" s="673" t="s">
        <v>107</v>
      </c>
      <c r="U150" s="153" t="s">
        <v>78</v>
      </c>
      <c r="V150" s="153" t="s">
        <v>82</v>
      </c>
      <c r="W150" s="153" t="s">
        <v>33</v>
      </c>
      <c r="X150" s="153" t="s">
        <v>69</v>
      </c>
      <c r="Y150" s="178"/>
      <c r="Z150" s="178"/>
      <c r="AA150" s="178"/>
      <c r="AB150" s="153" t="s">
        <v>72</v>
      </c>
      <c r="AC150" s="153" t="s">
        <v>80</v>
      </c>
      <c r="AD150" s="187" t="s">
        <v>81</v>
      </c>
      <c r="AE150" s="183" t="s">
        <v>77</v>
      </c>
      <c r="AF150" s="220" t="s">
        <v>107</v>
      </c>
      <c r="AG150" s="153" t="s">
        <v>79</v>
      </c>
      <c r="AH150" s="153" t="s">
        <v>82</v>
      </c>
      <c r="AI150" s="153" t="s">
        <v>34</v>
      </c>
      <c r="AJ150" s="153" t="s">
        <v>69</v>
      </c>
      <c r="AK150" s="178"/>
      <c r="AL150" s="178"/>
      <c r="AM150" s="153" t="s">
        <v>72</v>
      </c>
      <c r="AN150" s="153" t="s">
        <v>80</v>
      </c>
      <c r="AO150" s="187" t="s">
        <v>81</v>
      </c>
      <c r="AP150" s="183" t="s">
        <v>77</v>
      </c>
      <c r="AQ150" s="220" t="s">
        <v>107</v>
      </c>
      <c r="AR150" s="153" t="s">
        <v>79</v>
      </c>
      <c r="AS150" s="153" t="s">
        <v>82</v>
      </c>
      <c r="AT150" s="153" t="s">
        <v>34</v>
      </c>
      <c r="AU150" s="153" t="s">
        <v>69</v>
      </c>
      <c r="AV150" s="153"/>
      <c r="AW150" s="153"/>
      <c r="AX150" s="153"/>
      <c r="AY150" s="153"/>
      <c r="AZ150" s="178"/>
      <c r="BA150" s="307" t="s">
        <v>450</v>
      </c>
      <c r="BB150" s="349">
        <f>IF(B147=0,0,1)</f>
        <v>1</v>
      </c>
      <c r="BC150" s="227" t="s">
        <v>452</v>
      </c>
      <c r="BD150" s="275">
        <f>_xlfn.IFNA(BD149,0)</f>
        <v>0.3226</v>
      </c>
      <c r="BE150" s="12" t="s">
        <v>417</v>
      </c>
    </row>
    <row r="151" spans="1:57" ht="14.25" customHeight="1" x14ac:dyDescent="0.25">
      <c r="A151" s="296"/>
      <c r="B151" s="12"/>
      <c r="C151" s="115"/>
      <c r="D151" s="188"/>
      <c r="E151" s="221">
        <f>BB147</f>
        <v>1</v>
      </c>
      <c r="F151" s="190">
        <f>IF($D$4=2023,1,0)</f>
        <v>1</v>
      </c>
      <c r="G151" s="178">
        <f>IF($B154="Yes",$C$5,$I155)</f>
        <v>12</v>
      </c>
      <c r="H151" s="191">
        <f>VLOOKUP(H154,'Lookup Tables'!$A$22:$B$33,2,FALSE)</f>
        <v>3</v>
      </c>
      <c r="I151" s="192">
        <f>VLOOKUP($E$4,'Lookup Tables'!$AB$46:$AN$58,MATCH($H151,'Lookup Tables'!$AB$46:$AN$46),FALSE)</f>
        <v>12</v>
      </c>
      <c r="J151" s="190">
        <f>12-I151</f>
        <v>0</v>
      </c>
      <c r="K151" s="190">
        <f>IF(G151&lt;J151,G151,J151)</f>
        <v>0</v>
      </c>
      <c r="L151" s="195">
        <f>IF(12-I151&gt;=1,1,0)</f>
        <v>0</v>
      </c>
      <c r="M151" s="202">
        <f>((('Rate Tables'!$C44*$E151)*PersonCalcYr2!$K151)*L151)*$F151</f>
        <v>0</v>
      </c>
      <c r="N151" s="197">
        <f>G151-(J151*L151)</f>
        <v>12</v>
      </c>
      <c r="O151" s="178"/>
      <c r="P151" s="197">
        <f>IF(N151&lt;0,N151*0,1)*N151</f>
        <v>12</v>
      </c>
      <c r="Q151" s="198">
        <f>VLOOKUP($H154,'Lookup Tables'!$A$22:$B$33,2,FALSE)+(K151*L151)</f>
        <v>3</v>
      </c>
      <c r="R151" s="199" t="str">
        <f>VLOOKUP(Q151,'Lookup Tables'!$A$38:$B$151,2,FALSE)</f>
        <v>Sept</v>
      </c>
      <c r="S151" s="191">
        <f>VLOOKUP(R151,'Lookup Tables'!$A$22:$B$33,2,FALSE)</f>
        <v>3</v>
      </c>
      <c r="T151" s="672">
        <f>VLOOKUP($E$4,'Lookup Tables'!$AQ$46:$BC$58,MATCH(PersonCalcYr2!$S151,'Lookup Tables'!$AQ$46:$BC$46),FALSE)</f>
        <v>10</v>
      </c>
      <c r="U151" s="190">
        <f>IF(P151&lt;T151,P151,T151)</f>
        <v>10</v>
      </c>
      <c r="V151" s="195">
        <f>IF((U151)&lt;=0,0,1)</f>
        <v>1</v>
      </c>
      <c r="W151" s="202">
        <f>(('Rate Tables'!$D44*$E151)*PersonCalcYr2!$U151)*$V151*$F151</f>
        <v>0</v>
      </c>
      <c r="X151" s="197">
        <f>P151-(U151*V151)</f>
        <v>2</v>
      </c>
      <c r="Y151" s="178"/>
      <c r="Z151" s="178"/>
      <c r="AA151" s="178"/>
      <c r="AB151" s="197">
        <f>IF(X151&lt;0,X151*0,1)*X151</f>
        <v>2</v>
      </c>
      <c r="AC151" s="203">
        <f>S151+(U151*V151)</f>
        <v>13</v>
      </c>
      <c r="AD151" s="199" t="str">
        <f>VLOOKUP(AC151,'Lookup Tables'!$A$38:$B$151,2,FALSE)</f>
        <v>July</v>
      </c>
      <c r="AE151" s="191">
        <f>VLOOKUP(AD151,'Lookup Tables'!$A$22:$B$33,2,FALSE)</f>
        <v>1</v>
      </c>
      <c r="AF151" s="222">
        <f>VLOOKUP($AE151,'Lookup Tables'!$AC$3:$AW$16,MATCH(PersonCalcYr2!$AB151,'Lookup Tables'!$AC$3:$AW$3),FALSE)</f>
        <v>2</v>
      </c>
      <c r="AG151" s="190">
        <f>IF(AB151&lt;AF151,AB151,AF151)</f>
        <v>2</v>
      </c>
      <c r="AH151" s="195">
        <f>IF((AG151)&lt;=0,0,1)</f>
        <v>1</v>
      </c>
      <c r="AI151" s="202">
        <f>(('Rate Tables'!$E44*$E151)*PersonCalcYr2!AG151)*AH151*$F151</f>
        <v>0</v>
      </c>
      <c r="AJ151" s="197">
        <f>AB151-(AG151*AH151)</f>
        <v>0</v>
      </c>
      <c r="AK151" s="178"/>
      <c r="AL151" s="178"/>
      <c r="AM151" s="197">
        <f>IF(AJ151&lt;0,AJ151*0,1)*AJ151</f>
        <v>0</v>
      </c>
      <c r="AN151" s="203">
        <f>AE151+(AG151*AH151)</f>
        <v>3</v>
      </c>
      <c r="AO151" s="199" t="str">
        <f>VLOOKUP(AN151,'Lookup Tables'!$A$38:$B$151,2,FALSE)</f>
        <v>Sept</v>
      </c>
      <c r="AP151" s="191">
        <f>VLOOKUP(AO151,'Lookup Tables'!$A$22:$B$33,2,FALSE)</f>
        <v>3</v>
      </c>
      <c r="AQ151" s="222">
        <f>VLOOKUP($AP151,'Lookup Tables'!$AC$3:$AW$16,MATCH(PersonCalcYr2!$AM151,'Lookup Tables'!$AC$3:$AW$3),FALSE)</f>
        <v>0</v>
      </c>
      <c r="AR151" s="190">
        <f>IF(AM151&lt;AQ151,AM151,AQ151)</f>
        <v>0</v>
      </c>
      <c r="AS151" s="195">
        <f>IF((AR151)&lt;=0,0,1)</f>
        <v>0</v>
      </c>
      <c r="AT151" s="202">
        <f>(('Rate Tables'!$F44*$E151)*PersonCalcYr2!AR151)*AS151*$F151</f>
        <v>0</v>
      </c>
      <c r="AU151" s="197">
        <f>AM151-(AR151*AS151)</f>
        <v>0</v>
      </c>
      <c r="AV151" s="202"/>
      <c r="AW151" s="202"/>
      <c r="AX151" s="202"/>
      <c r="AY151" s="202"/>
      <c r="AZ151" s="178"/>
      <c r="BA151" s="311"/>
      <c r="BB151" s="12"/>
      <c r="BC151" s="227" t="s">
        <v>453</v>
      </c>
      <c r="BD151" s="275">
        <f>IF(BD150=0,0,BD149)</f>
        <v>0.3226</v>
      </c>
      <c r="BE151" s="12">
        <f>(BD147+BD154)*BE149</f>
        <v>0</v>
      </c>
    </row>
    <row r="152" spans="1:57" ht="14.25" customHeight="1" x14ac:dyDescent="0.25">
      <c r="A152" s="296"/>
      <c r="B152" s="12"/>
      <c r="C152" s="117" t="s">
        <v>664</v>
      </c>
      <c r="D152" s="182"/>
      <c r="E152" s="153"/>
      <c r="F152" s="153" t="s">
        <v>42</v>
      </c>
      <c r="G152" s="153" t="s">
        <v>41</v>
      </c>
      <c r="H152" s="183" t="s">
        <v>77</v>
      </c>
      <c r="I152" s="219" t="s">
        <v>51</v>
      </c>
      <c r="J152" s="153" t="s">
        <v>110</v>
      </c>
      <c r="K152" s="153" t="s">
        <v>53</v>
      </c>
      <c r="L152" s="153" t="s">
        <v>82</v>
      </c>
      <c r="M152" s="153" t="s">
        <v>32</v>
      </c>
      <c r="N152" s="153" t="s">
        <v>69</v>
      </c>
      <c r="O152" s="178"/>
      <c r="P152" s="153" t="s">
        <v>72</v>
      </c>
      <c r="Q152" s="183" t="s">
        <v>80</v>
      </c>
      <c r="R152" s="187" t="s">
        <v>81</v>
      </c>
      <c r="S152" s="183" t="s">
        <v>77</v>
      </c>
      <c r="T152" s="673" t="s">
        <v>107</v>
      </c>
      <c r="U152" s="153" t="s">
        <v>78</v>
      </c>
      <c r="V152" s="153" t="s">
        <v>82</v>
      </c>
      <c r="W152" s="153" t="s">
        <v>33</v>
      </c>
      <c r="X152" s="153" t="s">
        <v>69</v>
      </c>
      <c r="Y152" s="178"/>
      <c r="Z152" s="178"/>
      <c r="AA152" s="178"/>
      <c r="AB152" s="153" t="s">
        <v>72</v>
      </c>
      <c r="AC152" s="153" t="s">
        <v>80</v>
      </c>
      <c r="AD152" s="187" t="s">
        <v>81</v>
      </c>
      <c r="AE152" s="183" t="s">
        <v>77</v>
      </c>
      <c r="AF152" s="220" t="s">
        <v>107</v>
      </c>
      <c r="AG152" s="153" t="s">
        <v>79</v>
      </c>
      <c r="AH152" s="153" t="s">
        <v>82</v>
      </c>
      <c r="AI152" s="153" t="s">
        <v>34</v>
      </c>
      <c r="AJ152" s="153" t="s">
        <v>69</v>
      </c>
      <c r="AK152" s="178"/>
      <c r="AL152" s="178"/>
      <c r="AM152" s="153" t="s">
        <v>72</v>
      </c>
      <c r="AN152" s="153" t="s">
        <v>80</v>
      </c>
      <c r="AO152" s="187" t="s">
        <v>81</v>
      </c>
      <c r="AP152" s="183" t="s">
        <v>77</v>
      </c>
      <c r="AQ152" s="220" t="s">
        <v>107</v>
      </c>
      <c r="AR152" s="153" t="s">
        <v>79</v>
      </c>
      <c r="AS152" s="153" t="s">
        <v>82</v>
      </c>
      <c r="AT152" s="153" t="s">
        <v>34</v>
      </c>
      <c r="AU152" s="153" t="s">
        <v>69</v>
      </c>
      <c r="AV152" s="202"/>
      <c r="AW152" s="202"/>
      <c r="AX152" s="202"/>
      <c r="AY152" s="202"/>
      <c r="AZ152" s="178"/>
      <c r="BA152" s="311"/>
      <c r="BB152" s="12"/>
      <c r="BC152" s="227"/>
      <c r="BD152" s="275"/>
      <c r="BE152" s="12"/>
    </row>
    <row r="153" spans="1:57" ht="14.25" customHeight="1" thickBot="1" x14ac:dyDescent="0.3">
      <c r="A153" s="296"/>
      <c r="B153" s="12"/>
      <c r="C153" s="115"/>
      <c r="D153" s="188"/>
      <c r="E153" s="221">
        <f>BB147</f>
        <v>1</v>
      </c>
      <c r="F153" s="190">
        <f>IF($D$4=2024,1,0)</f>
        <v>0</v>
      </c>
      <c r="G153" s="178">
        <f>IF($B154="Yes",$C$5,$I155)</f>
        <v>12</v>
      </c>
      <c r="H153" s="191">
        <f>VLOOKUP(H154,'Lookup Tables'!$A$22:$B$33,2,FALSE)</f>
        <v>3</v>
      </c>
      <c r="I153" s="192">
        <f>VLOOKUP($E$4,'Lookup Tables'!$AB$46:$AN$58,MATCH($H153,'Lookup Tables'!$AB$46:$AN$46),FALSE)</f>
        <v>12</v>
      </c>
      <c r="J153" s="190">
        <f>12-I153</f>
        <v>0</v>
      </c>
      <c r="K153" s="190">
        <f>IF(G153&lt;J153,G153,J153)</f>
        <v>0</v>
      </c>
      <c r="L153" s="195">
        <f>IF(12-I153&gt;=1,1,0)</f>
        <v>0</v>
      </c>
      <c r="M153" s="202">
        <f>((('Rate Tables'!$D44*$E153)*PersonCalcYr2!$K153)*L153)*$F153</f>
        <v>0</v>
      </c>
      <c r="N153" s="197">
        <f>G153-(J153*L153)</f>
        <v>12</v>
      </c>
      <c r="O153" s="178"/>
      <c r="P153" s="197">
        <f>IF(N153&lt;0,N153*0,1)*N153</f>
        <v>12</v>
      </c>
      <c r="Q153" s="198">
        <f>VLOOKUP($H154,'Lookup Tables'!$A$22:$B$33,2,FALSE)+(K153*L153)</f>
        <v>3</v>
      </c>
      <c r="R153" s="199" t="str">
        <f>VLOOKUP(Q153,'Lookup Tables'!$A$38:$B$151,2,FALSE)</f>
        <v>Sept</v>
      </c>
      <c r="S153" s="191">
        <f>VLOOKUP(R153,'Lookup Tables'!$A$22:$B$33,2,FALSE)</f>
        <v>3</v>
      </c>
      <c r="T153" s="672">
        <f>VLOOKUP($E$4,'Lookup Tables'!$AQ$46:$BC$58,MATCH(PersonCalcYr2!$S153,'Lookup Tables'!$AQ$46:$BC$46),FALSE)</f>
        <v>10</v>
      </c>
      <c r="U153" s="190">
        <f>IF(P153&lt;T153,P153,T153)</f>
        <v>10</v>
      </c>
      <c r="V153" s="195">
        <f>IF((U153)&lt;=0,0,1)</f>
        <v>1</v>
      </c>
      <c r="W153" s="202">
        <f>(('Rate Tables'!$E44*$E153)*PersonCalcYr2!$U153)*$V153*$F153</f>
        <v>0</v>
      </c>
      <c r="X153" s="197">
        <f>P153-(U153*V153)</f>
        <v>2</v>
      </c>
      <c r="Y153" s="178"/>
      <c r="Z153" s="178"/>
      <c r="AA153" s="178"/>
      <c r="AB153" s="197">
        <f>IF(X153&lt;0,X153*0,1)*X153</f>
        <v>2</v>
      </c>
      <c r="AC153" s="203">
        <f>S153+(U153*V153)</f>
        <v>13</v>
      </c>
      <c r="AD153" s="199" t="str">
        <f>VLOOKUP(AC153,'Lookup Tables'!$A$38:$B$151,2,FALSE)</f>
        <v>July</v>
      </c>
      <c r="AE153" s="191">
        <f>VLOOKUP(AD153,'Lookup Tables'!$A$22:$B$33,2,FALSE)</f>
        <v>1</v>
      </c>
      <c r="AF153" s="222">
        <f>VLOOKUP($AE153,'Lookup Tables'!$AC$3:$AW$16,MATCH(PersonCalcYr2!$AB153,'Lookup Tables'!$AC$3:$AW$3),FALSE)</f>
        <v>2</v>
      </c>
      <c r="AG153" s="190">
        <f>IF(AB153&lt;AF153,AB153,AF153)</f>
        <v>2</v>
      </c>
      <c r="AH153" s="195">
        <f>IF((AG153)&lt;=0,0,1)</f>
        <v>1</v>
      </c>
      <c r="AI153" s="202">
        <f>(('Rate Tables'!$F44*$E153)*PersonCalcYr2!AG153)*AH153*$F153</f>
        <v>0</v>
      </c>
      <c r="AJ153" s="197">
        <f>AB153-(AG153*AH153)</f>
        <v>0</v>
      </c>
      <c r="AK153" s="178"/>
      <c r="AL153" s="178"/>
      <c r="AM153" s="197">
        <f>IF(AJ153&lt;0,AJ153*0,1)*AJ153</f>
        <v>0</v>
      </c>
      <c r="AN153" s="203">
        <f>AE153+(AG153*AH153)</f>
        <v>3</v>
      </c>
      <c r="AO153" s="199" t="str">
        <f>VLOOKUP(AN153,'Lookup Tables'!$A$38:$B$151,2,FALSE)</f>
        <v>Sept</v>
      </c>
      <c r="AP153" s="191">
        <f>VLOOKUP(AO153,'Lookup Tables'!$A$22:$B$33,2,FALSE)</f>
        <v>3</v>
      </c>
      <c r="AQ153" s="222">
        <f>VLOOKUP($AP153,'Lookup Tables'!$AC$3:$AW$16,MATCH(PersonCalcYr2!$AM153,'Lookup Tables'!$AC$3:$AW$3),FALSE)</f>
        <v>0</v>
      </c>
      <c r="AR153" s="190">
        <f>IF(AM153&lt;AQ153,AM153,AQ153)</f>
        <v>0</v>
      </c>
      <c r="AS153" s="195">
        <f>IF((AR153)&lt;=0,0,1)</f>
        <v>0</v>
      </c>
      <c r="AT153" s="202">
        <f>(('Rate Tables'!$G44*$E153)*PersonCalcYr2!AR153)*AS153*$F153</f>
        <v>0</v>
      </c>
      <c r="AU153" s="197">
        <f>AM153-(AR153*AS153)</f>
        <v>0</v>
      </c>
      <c r="AV153" s="202"/>
      <c r="AW153" s="202"/>
      <c r="AX153" s="202"/>
      <c r="AY153" s="202"/>
      <c r="AZ153" s="178"/>
      <c r="BA153" s="311"/>
      <c r="BB153" s="12"/>
      <c r="BC153" s="227"/>
      <c r="BD153" s="275"/>
      <c r="BE153" s="12"/>
    </row>
    <row r="154" spans="1:57" ht="14.25" customHeight="1" thickBot="1" x14ac:dyDescent="0.3">
      <c r="A154" s="377" t="s">
        <v>431</v>
      </c>
      <c r="B154" s="375" t="str">
        <f>Personnel!M54</f>
        <v>YES</v>
      </c>
      <c r="C154" s="12"/>
      <c r="D154" s="178"/>
      <c r="E154" s="178"/>
      <c r="F154" s="178"/>
      <c r="G154" s="178" t="s">
        <v>430</v>
      </c>
      <c r="H154" s="178" t="str">
        <f>IF(B154="yes",$C$4,A156)</f>
        <v>Sept</v>
      </c>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53"/>
      <c r="AK154" s="178"/>
      <c r="AL154" s="178"/>
      <c r="AM154" s="178"/>
      <c r="AN154" s="178"/>
      <c r="AO154" s="178"/>
      <c r="AP154" s="178"/>
      <c r="AQ154" s="178"/>
      <c r="AR154" s="178"/>
      <c r="AS154" s="178"/>
      <c r="AT154" s="178"/>
      <c r="AU154" s="178"/>
      <c r="AV154" s="178"/>
      <c r="AW154" s="178"/>
      <c r="AX154" s="178"/>
      <c r="AY154" s="178"/>
      <c r="AZ154" s="178"/>
      <c r="BA154" s="227"/>
      <c r="BB154" s="12"/>
      <c r="BC154" s="278" t="s">
        <v>415</v>
      </c>
      <c r="BD154" s="279">
        <f>BD147*BD151</f>
        <v>0</v>
      </c>
      <c r="BE154" s="398">
        <f>BD147+BD154+BE151</f>
        <v>0</v>
      </c>
    </row>
    <row r="155" spans="1:57" ht="14.25" customHeight="1" x14ac:dyDescent="0.25">
      <c r="A155" s="296" t="s">
        <v>439</v>
      </c>
      <c r="B155" s="114" t="s">
        <v>427</v>
      </c>
      <c r="C155" s="12"/>
      <c r="D155" s="178"/>
      <c r="E155" s="178"/>
      <c r="F155" s="178"/>
      <c r="G155" s="491" t="s">
        <v>555</v>
      </c>
      <c r="H155" s="11">
        <f>IF(H156&lt;$C$5,H156,$C$5)</f>
        <v>12</v>
      </c>
      <c r="I155" s="178">
        <f>IF(B156&lt;=H156,B156,H156)</f>
        <v>0</v>
      </c>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97"/>
      <c r="AK155" s="178"/>
      <c r="AL155" s="178"/>
      <c r="AM155" s="178"/>
      <c r="AN155" s="178"/>
      <c r="AO155" s="178"/>
      <c r="AP155" s="178"/>
      <c r="AQ155" s="178"/>
      <c r="AR155" s="178"/>
      <c r="AS155" s="178"/>
      <c r="AT155" s="178"/>
      <c r="AU155" s="178"/>
      <c r="AV155" s="178"/>
      <c r="AW155" s="178"/>
      <c r="AX155" s="178"/>
      <c r="AY155" s="178"/>
      <c r="AZ155" s="178"/>
      <c r="BA155" s="227"/>
      <c r="BB155" s="12"/>
      <c r="BC155" s="278"/>
      <c r="BD155" s="284"/>
      <c r="BE155" s="399"/>
    </row>
    <row r="156" spans="1:57" ht="14.25" customHeight="1" x14ac:dyDescent="0.25">
      <c r="A156" s="397">
        <f>Personnel!M55</f>
        <v>0</v>
      </c>
      <c r="B156" s="273">
        <f>Personnel!M56</f>
        <v>0</v>
      </c>
      <c r="C156" s="12"/>
      <c r="D156" s="178"/>
      <c r="E156" s="178"/>
      <c r="F156" s="178"/>
      <c r="G156" s="178"/>
      <c r="H156" s="175">
        <f>VLOOKUP($E$4,'Lookup Tables'!$L$46:$AA$58,MATCH($H$149,'Lookup Tables'!$L$46:$X$46),FALSE)</f>
        <v>12</v>
      </c>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227"/>
      <c r="BB156" s="12"/>
      <c r="BC156" s="278"/>
      <c r="BD156" s="284"/>
      <c r="BE156" s="369"/>
    </row>
    <row r="157" spans="1:57" ht="6.75" customHeight="1" thickBot="1" x14ac:dyDescent="0.3">
      <c r="A157" s="296"/>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227"/>
      <c r="BB157" s="12"/>
      <c r="BC157" s="12"/>
      <c r="BD157" s="275"/>
      <c r="BE157" s="149"/>
    </row>
    <row r="158" spans="1:57" ht="14.25" customHeight="1" x14ac:dyDescent="0.25">
      <c r="A158" s="298" t="s">
        <v>174</v>
      </c>
      <c r="B158" s="294" t="s">
        <v>190</v>
      </c>
      <c r="C158" s="180" t="s">
        <v>606</v>
      </c>
      <c r="D158" s="179"/>
      <c r="E158" s="218"/>
      <c r="F158" s="218"/>
      <c r="G158" s="181"/>
      <c r="H158" s="181"/>
      <c r="I158" s="181"/>
      <c r="J158" s="181"/>
      <c r="K158" s="181"/>
      <c r="L158" s="181"/>
      <c r="M158" s="181"/>
      <c r="N158" s="181"/>
      <c r="O158" s="181"/>
      <c r="P158" s="181"/>
      <c r="Q158" s="181"/>
      <c r="R158" s="181"/>
      <c r="S158" s="181"/>
      <c r="T158" s="181"/>
      <c r="U158" s="181"/>
      <c r="V158" s="181"/>
      <c r="W158" s="181"/>
      <c r="X158" s="181"/>
      <c r="Y158" s="181"/>
      <c r="Z158" s="493">
        <v>44378</v>
      </c>
      <c r="AA158" s="493">
        <v>44742</v>
      </c>
      <c r="AB158" s="181"/>
      <c r="AC158" s="181"/>
      <c r="AD158" s="181"/>
      <c r="AE158" s="181"/>
      <c r="AF158" s="181"/>
      <c r="AG158" s="181"/>
      <c r="AH158" s="181"/>
      <c r="AI158" s="181"/>
      <c r="AJ158" s="181"/>
      <c r="AK158" s="181"/>
      <c r="AL158" s="181"/>
      <c r="AM158" s="181"/>
      <c r="AN158" s="181"/>
      <c r="AO158" s="181"/>
      <c r="AP158" s="181"/>
      <c r="AQ158" s="181"/>
      <c r="AR158" s="181"/>
      <c r="AS158" s="181"/>
      <c r="AT158" s="181"/>
      <c r="AU158" s="181"/>
      <c r="AV158" s="181"/>
      <c r="AW158" s="181"/>
      <c r="AX158" s="181"/>
      <c r="AY158" s="181"/>
      <c r="AZ158" s="181"/>
      <c r="BA158" s="282"/>
      <c r="BB158" s="144"/>
      <c r="BC158" s="144"/>
      <c r="BD158" s="283"/>
      <c r="BE158" s="12"/>
    </row>
    <row r="159" spans="1:57" ht="14.25" customHeight="1" x14ac:dyDescent="0.25">
      <c r="A159" s="354">
        <f>Personnel!C60</f>
        <v>0</v>
      </c>
      <c r="B159" s="346" t="str">
        <f>Personnel!C59</f>
        <v>Post Doc</v>
      </c>
      <c r="C159" s="347">
        <f>Personnel!C61</f>
        <v>0</v>
      </c>
      <c r="D159" s="188"/>
      <c r="E159" s="205"/>
      <c r="F159" s="205"/>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306" t="s">
        <v>413</v>
      </c>
      <c r="BB159" s="400">
        <f>Personnel!O59</f>
        <v>1</v>
      </c>
      <c r="BC159" s="278" t="s">
        <v>96</v>
      </c>
      <c r="BD159" s="279">
        <f>(M161+W161+AI161+AT161+M163+W163+AI163+AT163+M165+W165+AI165+AT165)*BB162</f>
        <v>0</v>
      </c>
      <c r="BE159" s="369"/>
    </row>
    <row r="160" spans="1:57" ht="14.25" customHeight="1" x14ac:dyDescent="0.25">
      <c r="A160" s="296"/>
      <c r="B160" s="12"/>
      <c r="C160" s="117" t="s">
        <v>30</v>
      </c>
      <c r="D160" s="182"/>
      <c r="E160" s="153"/>
      <c r="F160" s="153" t="s">
        <v>42</v>
      </c>
      <c r="G160" s="153" t="s">
        <v>41</v>
      </c>
      <c r="H160" s="183" t="s">
        <v>77</v>
      </c>
      <c r="I160" s="219" t="s">
        <v>50</v>
      </c>
      <c r="J160" s="153" t="s">
        <v>52</v>
      </c>
      <c r="K160" s="153" t="s">
        <v>35</v>
      </c>
      <c r="L160" s="153" t="s">
        <v>82</v>
      </c>
      <c r="M160" s="153" t="s">
        <v>31</v>
      </c>
      <c r="N160" s="153" t="s">
        <v>69</v>
      </c>
      <c r="O160" s="178"/>
      <c r="P160" s="153" t="s">
        <v>72</v>
      </c>
      <c r="Q160" s="183" t="s">
        <v>80</v>
      </c>
      <c r="R160" s="187" t="s">
        <v>81</v>
      </c>
      <c r="S160" s="183" t="s">
        <v>77</v>
      </c>
      <c r="T160" s="673" t="s">
        <v>107</v>
      </c>
      <c r="U160" s="153" t="s">
        <v>53</v>
      </c>
      <c r="V160" s="153" t="s">
        <v>82</v>
      </c>
      <c r="W160" s="153" t="s">
        <v>32</v>
      </c>
      <c r="X160" s="153" t="s">
        <v>69</v>
      </c>
      <c r="Y160" s="178"/>
      <c r="Z160" s="178"/>
      <c r="AA160" s="178"/>
      <c r="AB160" s="153" t="s">
        <v>72</v>
      </c>
      <c r="AC160" s="153" t="s">
        <v>80</v>
      </c>
      <c r="AD160" s="187" t="s">
        <v>81</v>
      </c>
      <c r="AE160" s="183" t="s">
        <v>77</v>
      </c>
      <c r="AF160" s="220" t="s">
        <v>107</v>
      </c>
      <c r="AG160" s="153" t="s">
        <v>78</v>
      </c>
      <c r="AH160" s="153" t="s">
        <v>82</v>
      </c>
      <c r="AI160" s="153" t="s">
        <v>33</v>
      </c>
      <c r="AJ160" s="153" t="s">
        <v>69</v>
      </c>
      <c r="AK160" s="178"/>
      <c r="AL160" s="178"/>
      <c r="AM160" s="153" t="s">
        <v>72</v>
      </c>
      <c r="AN160" s="153" t="s">
        <v>80</v>
      </c>
      <c r="AO160" s="187" t="s">
        <v>81</v>
      </c>
      <c r="AP160" s="183" t="s">
        <v>77</v>
      </c>
      <c r="AQ160" s="220" t="s">
        <v>107</v>
      </c>
      <c r="AR160" s="153" t="s">
        <v>78</v>
      </c>
      <c r="AS160" s="153" t="s">
        <v>82</v>
      </c>
      <c r="AT160" s="153" t="s">
        <v>33</v>
      </c>
      <c r="AU160" s="153" t="s">
        <v>69</v>
      </c>
      <c r="AV160" s="153"/>
      <c r="AW160" s="153"/>
      <c r="AX160" s="153"/>
      <c r="AY160" s="153"/>
      <c r="AZ160" s="178"/>
      <c r="BA160" s="227"/>
      <c r="BB160" s="12"/>
      <c r="BC160" s="227"/>
      <c r="BD160" s="275"/>
      <c r="BE160" s="12" t="s">
        <v>418</v>
      </c>
    </row>
    <row r="161" spans="1:59" ht="14.25" customHeight="1" x14ac:dyDescent="0.25">
      <c r="A161" s="296"/>
      <c r="B161" s="12"/>
      <c r="C161" s="115"/>
      <c r="D161" s="188"/>
      <c r="E161" s="221">
        <f>BB159</f>
        <v>1</v>
      </c>
      <c r="F161" s="190">
        <f>IF($D$4=2022,1,0)</f>
        <v>0</v>
      </c>
      <c r="G161" s="178">
        <f>IF($B166="Yes",$C$5,$I167)</f>
        <v>12</v>
      </c>
      <c r="H161" s="191">
        <f>VLOOKUP(H166,'Lookup Tables'!$A$22:$B$33,2,FALSE)</f>
        <v>3</v>
      </c>
      <c r="I161" s="192">
        <f>VLOOKUP($E$4,'Lookup Tables'!$AB$46:$AN$58,MATCH($H161,'Lookup Tables'!$AB$46:$AN$46),FALSE)</f>
        <v>12</v>
      </c>
      <c r="J161" s="190">
        <f>12-I161</f>
        <v>0</v>
      </c>
      <c r="K161" s="190">
        <f>IF(G161&lt;J161,G161,J161)</f>
        <v>0</v>
      </c>
      <c r="L161" s="195">
        <f>IF(12-I161&gt;=1,1,0)</f>
        <v>0</v>
      </c>
      <c r="M161" s="202">
        <f>((('Rate Tables'!$B49*$E161)*PersonCalcYr2!$K161)*L161)*$F161</f>
        <v>0</v>
      </c>
      <c r="N161" s="197">
        <f>G161-(J161*L161)</f>
        <v>12</v>
      </c>
      <c r="O161" s="178"/>
      <c r="P161" s="197">
        <f>IF(N161&lt;0,N161*0,1)*N161</f>
        <v>12</v>
      </c>
      <c r="Q161" s="198">
        <f>VLOOKUP($H166,'Lookup Tables'!$A$22:$B$33,2,FALSE)+(K161*L161)</f>
        <v>3</v>
      </c>
      <c r="R161" s="199" t="str">
        <f>VLOOKUP(Q161,'Lookup Tables'!$A$38:$B$151,2,FALSE)</f>
        <v>Sept</v>
      </c>
      <c r="S161" s="191">
        <f>VLOOKUP(R161,'Lookup Tables'!$A$22:$B$33,2,FALSE)</f>
        <v>3</v>
      </c>
      <c r="T161" s="672">
        <f>VLOOKUP($E$4,'Lookup Tables'!$AQ$46:$BC$58,MATCH(PersonCalcYr2!$S161,'Lookup Tables'!$AQ$46:$BC$46),FALSE)</f>
        <v>10</v>
      </c>
      <c r="U161" s="190">
        <f>IF(P161&lt;T161,P161,T161)</f>
        <v>10</v>
      </c>
      <c r="V161" s="195">
        <f>IF((U161)&lt;=0,0,1)</f>
        <v>1</v>
      </c>
      <c r="W161" s="202">
        <f>(('Rate Tables'!$C49*$E161)*PersonCalcYr2!$U161)*$V161*$F161</f>
        <v>0</v>
      </c>
      <c r="X161" s="197">
        <f>P161-(U161*V161)</f>
        <v>2</v>
      </c>
      <c r="Y161" s="178"/>
      <c r="Z161" s="178"/>
      <c r="AA161" s="178"/>
      <c r="AB161" s="197">
        <f>IF(X161&lt;0,X161*0,1)*X161</f>
        <v>2</v>
      </c>
      <c r="AC161" s="203">
        <f>S161+(U161*V161)</f>
        <v>13</v>
      </c>
      <c r="AD161" s="199" t="str">
        <f>VLOOKUP(AC161,'Lookup Tables'!$A$38:$B$151,2,FALSE)</f>
        <v>July</v>
      </c>
      <c r="AE161" s="191">
        <f>VLOOKUP(AD161,'Lookup Tables'!$A$22:$B$33,2,FALSE)</f>
        <v>1</v>
      </c>
      <c r="AF161" s="222">
        <f>VLOOKUP($AE161,'Lookup Tables'!$AC$3:$AW$16,MATCH(PersonCalcYr2!$AB161,'Lookup Tables'!$AC$3:$AW$3),FALSE)</f>
        <v>2</v>
      </c>
      <c r="AG161" s="190">
        <f>IF(AB161&lt;AF161,AB161,AF161)</f>
        <v>2</v>
      </c>
      <c r="AH161" s="195">
        <f>IF((AG161)&lt;=0,0,1)</f>
        <v>1</v>
      </c>
      <c r="AI161" s="202">
        <f>(('Rate Tables'!$D49*$E161)*PersonCalcYr2!AG161)*AH161*$F161</f>
        <v>0</v>
      </c>
      <c r="AJ161" s="197">
        <f>AB161-(AG161*AH161)</f>
        <v>0</v>
      </c>
      <c r="AK161" s="178"/>
      <c r="AL161" s="178"/>
      <c r="AM161" s="197">
        <f>IF(AJ161&lt;0,AJ161*0,1)*AJ161</f>
        <v>0</v>
      </c>
      <c r="AN161" s="203">
        <f>AE161+(AG161*AH161)</f>
        <v>3</v>
      </c>
      <c r="AO161" s="199" t="str">
        <f>VLOOKUP(AN161,'Lookup Tables'!$A$38:$B$151,2,FALSE)</f>
        <v>Sept</v>
      </c>
      <c r="AP161" s="191">
        <f>VLOOKUP(AO161,'Lookup Tables'!$A$22:$B$33,2,FALSE)</f>
        <v>3</v>
      </c>
      <c r="AQ161" s="222">
        <f>VLOOKUP($AP161,'Lookup Tables'!$AC$3:$AW$16,MATCH(PersonCalcYr2!$AM161,'Lookup Tables'!$AC$3:$AW$3),FALSE)</f>
        <v>0</v>
      </c>
      <c r="AR161" s="190">
        <f>IF(AM161&lt;AQ161,AM161,AQ161)</f>
        <v>0</v>
      </c>
      <c r="AS161" s="195">
        <f>IF((AR161)&lt;=0,0,1)</f>
        <v>0</v>
      </c>
      <c r="AT161" s="202">
        <f>(('Rate Tables'!$E49*$E161)*PersonCalcYr2!AR161)*AS161*$F161</f>
        <v>0</v>
      </c>
      <c r="AU161" s="197">
        <f>AM161-(AR161*AS161)</f>
        <v>0</v>
      </c>
      <c r="AV161" s="202"/>
      <c r="AW161" s="202"/>
      <c r="AX161" s="202"/>
      <c r="AY161" s="202"/>
      <c r="AZ161" s="178"/>
      <c r="BA161" s="227"/>
      <c r="BB161" s="12"/>
      <c r="BC161" s="227" t="s">
        <v>451</v>
      </c>
      <c r="BD161" s="275">
        <f>(VLOOKUP($B159,'Rate Tables'!$O$2:$P$8,2,FALSE))</f>
        <v>0.28510000000000002</v>
      </c>
      <c r="BE161" s="372">
        <f>VLOOKUP('F&amp;ARatesCalc'!$B$1,'F&amp;ARatesCalc'!$A$3:$B$5,2,FALSE)</f>
        <v>0.56999999999999995</v>
      </c>
    </row>
    <row r="162" spans="1:59" ht="14.25" customHeight="1" x14ac:dyDescent="0.25">
      <c r="A162" s="296"/>
      <c r="B162" s="12"/>
      <c r="C162" s="117" t="s">
        <v>597</v>
      </c>
      <c r="D162" s="182"/>
      <c r="E162" s="153"/>
      <c r="F162" s="153" t="s">
        <v>42</v>
      </c>
      <c r="G162" s="153" t="s">
        <v>41</v>
      </c>
      <c r="H162" s="183" t="s">
        <v>77</v>
      </c>
      <c r="I162" s="219" t="s">
        <v>51</v>
      </c>
      <c r="J162" s="153" t="s">
        <v>110</v>
      </c>
      <c r="K162" s="153" t="s">
        <v>53</v>
      </c>
      <c r="L162" s="153" t="s">
        <v>82</v>
      </c>
      <c r="M162" s="153" t="s">
        <v>32</v>
      </c>
      <c r="N162" s="153" t="s">
        <v>69</v>
      </c>
      <c r="O162" s="178"/>
      <c r="P162" s="153" t="s">
        <v>72</v>
      </c>
      <c r="Q162" s="183" t="s">
        <v>80</v>
      </c>
      <c r="R162" s="187" t="s">
        <v>81</v>
      </c>
      <c r="S162" s="183" t="s">
        <v>77</v>
      </c>
      <c r="T162" s="673" t="s">
        <v>107</v>
      </c>
      <c r="U162" s="153" t="s">
        <v>78</v>
      </c>
      <c r="V162" s="153" t="s">
        <v>82</v>
      </c>
      <c r="W162" s="153" t="s">
        <v>33</v>
      </c>
      <c r="X162" s="153" t="s">
        <v>69</v>
      </c>
      <c r="Y162" s="178"/>
      <c r="Z162" s="178"/>
      <c r="AA162" s="178"/>
      <c r="AB162" s="153" t="s">
        <v>72</v>
      </c>
      <c r="AC162" s="153" t="s">
        <v>80</v>
      </c>
      <c r="AD162" s="187" t="s">
        <v>81</v>
      </c>
      <c r="AE162" s="183" t="s">
        <v>77</v>
      </c>
      <c r="AF162" s="220" t="s">
        <v>107</v>
      </c>
      <c r="AG162" s="153" t="s">
        <v>79</v>
      </c>
      <c r="AH162" s="153" t="s">
        <v>82</v>
      </c>
      <c r="AI162" s="153" t="s">
        <v>34</v>
      </c>
      <c r="AJ162" s="153" t="s">
        <v>69</v>
      </c>
      <c r="AK162" s="178"/>
      <c r="AL162" s="178"/>
      <c r="AM162" s="153" t="s">
        <v>72</v>
      </c>
      <c r="AN162" s="153" t="s">
        <v>80</v>
      </c>
      <c r="AO162" s="187" t="s">
        <v>81</v>
      </c>
      <c r="AP162" s="183" t="s">
        <v>77</v>
      </c>
      <c r="AQ162" s="220" t="s">
        <v>107</v>
      </c>
      <c r="AR162" s="153" t="s">
        <v>79</v>
      </c>
      <c r="AS162" s="153" t="s">
        <v>82</v>
      </c>
      <c r="AT162" s="153" t="s">
        <v>34</v>
      </c>
      <c r="AU162" s="153" t="s">
        <v>69</v>
      </c>
      <c r="AV162" s="153"/>
      <c r="AW162" s="153"/>
      <c r="AX162" s="153"/>
      <c r="AY162" s="153"/>
      <c r="AZ162" s="178"/>
      <c r="BA162" s="307" t="s">
        <v>450</v>
      </c>
      <c r="BB162" s="349">
        <f>IF(B159=0,0,1)</f>
        <v>1</v>
      </c>
      <c r="BC162" s="227" t="s">
        <v>452</v>
      </c>
      <c r="BD162" s="275">
        <f>_xlfn.IFNA(BD161,0)</f>
        <v>0.28510000000000002</v>
      </c>
      <c r="BE162" s="12" t="s">
        <v>417</v>
      </c>
    </row>
    <row r="163" spans="1:59" ht="14.25" customHeight="1" x14ac:dyDescent="0.25">
      <c r="A163" s="296"/>
      <c r="B163" s="12"/>
      <c r="C163" s="115"/>
      <c r="D163" s="188"/>
      <c r="E163" s="221">
        <f>BB159</f>
        <v>1</v>
      </c>
      <c r="F163" s="190">
        <f>IF($D$4=2023,1,0)</f>
        <v>1</v>
      </c>
      <c r="G163" s="178">
        <f>IF($B166="Yes",$C$5,$I167)</f>
        <v>12</v>
      </c>
      <c r="H163" s="191">
        <f>VLOOKUP(H166,'Lookup Tables'!$A$22:$B$33,2,FALSE)</f>
        <v>3</v>
      </c>
      <c r="I163" s="192">
        <f>VLOOKUP($E$4,'Lookup Tables'!$AB$46:$AN$58,MATCH($H163,'Lookup Tables'!$AB$46:$AN$46),FALSE)</f>
        <v>12</v>
      </c>
      <c r="J163" s="190">
        <f>12-I163</f>
        <v>0</v>
      </c>
      <c r="K163" s="190">
        <f>IF(G163&lt;J163,G163,J163)</f>
        <v>0</v>
      </c>
      <c r="L163" s="195">
        <f>IF(12-I163&gt;=1,1,0)</f>
        <v>0</v>
      </c>
      <c r="M163" s="202">
        <f>((('Rate Tables'!$C49*$E163)*PersonCalcYr2!$K163)*L163)*$F163</f>
        <v>0</v>
      </c>
      <c r="N163" s="197">
        <f>G163-(J163*L163)</f>
        <v>12</v>
      </c>
      <c r="O163" s="178"/>
      <c r="P163" s="197">
        <f>IF(N163&lt;0,N163*0,1)*N163</f>
        <v>12</v>
      </c>
      <c r="Q163" s="198">
        <f>VLOOKUP($H166,'Lookup Tables'!$A$22:$B$33,2,FALSE)+(K163*L163)</f>
        <v>3</v>
      </c>
      <c r="R163" s="199" t="str">
        <f>VLOOKUP(Q163,'Lookup Tables'!$A$38:$B$151,2,FALSE)</f>
        <v>Sept</v>
      </c>
      <c r="S163" s="191">
        <f>VLOOKUP(R163,'Lookup Tables'!$A$22:$B$33,2,FALSE)</f>
        <v>3</v>
      </c>
      <c r="T163" s="672">
        <f>VLOOKUP($E$4,'Lookup Tables'!$AQ$46:$BC$58,MATCH(PersonCalcYr2!$S163,'Lookup Tables'!$AQ$46:$BC$46),FALSE)</f>
        <v>10</v>
      </c>
      <c r="U163" s="190">
        <f>IF(P163&lt;T163,P163,T163)</f>
        <v>10</v>
      </c>
      <c r="V163" s="195">
        <f>IF((U163)&lt;=0,0,1)</f>
        <v>1</v>
      </c>
      <c r="W163" s="202">
        <f>(('Rate Tables'!$D49*$E163)*PersonCalcYr2!$U163)*$V163*$F163</f>
        <v>0</v>
      </c>
      <c r="X163" s="197">
        <f>P163-(U163*V163)</f>
        <v>2</v>
      </c>
      <c r="Y163" s="178"/>
      <c r="Z163" s="178"/>
      <c r="AA163" s="178"/>
      <c r="AB163" s="197">
        <f>IF(X163&lt;0,X163*0,1)*X163</f>
        <v>2</v>
      </c>
      <c r="AC163" s="203">
        <f>S163+(U163*V163)</f>
        <v>13</v>
      </c>
      <c r="AD163" s="199" t="str">
        <f>VLOOKUP(AC163,'Lookup Tables'!$A$38:$B$151,2,FALSE)</f>
        <v>July</v>
      </c>
      <c r="AE163" s="191">
        <f>VLOOKUP(AD163,'Lookup Tables'!$A$22:$B$33,2,FALSE)</f>
        <v>1</v>
      </c>
      <c r="AF163" s="222">
        <f>VLOOKUP($AE163,'Lookup Tables'!$AC$3:$AW$16,MATCH(PersonCalcYr2!$AB163,'Lookup Tables'!$AC$3:$AW$3),FALSE)</f>
        <v>2</v>
      </c>
      <c r="AG163" s="190">
        <f>IF(AB163&lt;AF163,AB163,AF163)</f>
        <v>2</v>
      </c>
      <c r="AH163" s="195">
        <f>IF((AG163)&lt;=0,0,1)</f>
        <v>1</v>
      </c>
      <c r="AI163" s="202">
        <f>(('Rate Tables'!$E49*$E163)*PersonCalcYr2!AG163)*AH163*$F163</f>
        <v>0</v>
      </c>
      <c r="AJ163" s="197">
        <f>AB163-(AG163*AH163)</f>
        <v>0</v>
      </c>
      <c r="AK163" s="178"/>
      <c r="AL163" s="178"/>
      <c r="AM163" s="197">
        <f>IF(AJ163&lt;0,AJ163*0,1)*AJ163</f>
        <v>0</v>
      </c>
      <c r="AN163" s="203">
        <f>AE163+(AG163*AH163)</f>
        <v>3</v>
      </c>
      <c r="AO163" s="199" t="str">
        <f>VLOOKUP(AN163,'Lookup Tables'!$A$38:$B$151,2,FALSE)</f>
        <v>Sept</v>
      </c>
      <c r="AP163" s="191">
        <f>VLOOKUP(AO163,'Lookup Tables'!$A$22:$B$33,2,FALSE)</f>
        <v>3</v>
      </c>
      <c r="AQ163" s="222">
        <f>VLOOKUP($AP163,'Lookup Tables'!$AC$3:$AW$16,MATCH(PersonCalcYr2!$AM163,'Lookup Tables'!$AC$3:$AW$3),FALSE)</f>
        <v>0</v>
      </c>
      <c r="AR163" s="190">
        <f>IF(AM163&lt;AQ163,AM163,AQ163)</f>
        <v>0</v>
      </c>
      <c r="AS163" s="195">
        <f>IF((AR163)&lt;=0,0,1)</f>
        <v>0</v>
      </c>
      <c r="AT163" s="202">
        <f>(('Rate Tables'!$F49*$E163)*PersonCalcYr2!AR163)*AS163*$F163</f>
        <v>0</v>
      </c>
      <c r="AU163" s="197">
        <f>AM163-(AR163*AS163)</f>
        <v>0</v>
      </c>
      <c r="AV163" s="202"/>
      <c r="AW163" s="202"/>
      <c r="AX163" s="202"/>
      <c r="AY163" s="202"/>
      <c r="AZ163" s="178"/>
      <c r="BA163" s="311"/>
      <c r="BB163" s="12"/>
      <c r="BC163" s="227" t="s">
        <v>453</v>
      </c>
      <c r="BD163" s="275">
        <f>IF(BD162=0,0,BD161)</f>
        <v>0.28510000000000002</v>
      </c>
      <c r="BE163" s="12">
        <f>(BD159+BD166)*BE161</f>
        <v>0</v>
      </c>
    </row>
    <row r="164" spans="1:59" ht="14.25" customHeight="1" x14ac:dyDescent="0.25">
      <c r="A164" s="296"/>
      <c r="B164" s="12"/>
      <c r="C164" s="117" t="s">
        <v>664</v>
      </c>
      <c r="D164" s="182"/>
      <c r="E164" s="153"/>
      <c r="F164" s="153" t="s">
        <v>42</v>
      </c>
      <c r="G164" s="153" t="s">
        <v>41</v>
      </c>
      <c r="H164" s="183" t="s">
        <v>77</v>
      </c>
      <c r="I164" s="219" t="s">
        <v>51</v>
      </c>
      <c r="J164" s="153" t="s">
        <v>110</v>
      </c>
      <c r="K164" s="153" t="s">
        <v>53</v>
      </c>
      <c r="L164" s="153" t="s">
        <v>82</v>
      </c>
      <c r="M164" s="153" t="s">
        <v>32</v>
      </c>
      <c r="N164" s="153" t="s">
        <v>69</v>
      </c>
      <c r="O164" s="178"/>
      <c r="P164" s="153" t="s">
        <v>72</v>
      </c>
      <c r="Q164" s="183" t="s">
        <v>80</v>
      </c>
      <c r="R164" s="187" t="s">
        <v>81</v>
      </c>
      <c r="S164" s="183" t="s">
        <v>77</v>
      </c>
      <c r="T164" s="673" t="s">
        <v>107</v>
      </c>
      <c r="U164" s="153" t="s">
        <v>78</v>
      </c>
      <c r="V164" s="153" t="s">
        <v>82</v>
      </c>
      <c r="W164" s="153" t="s">
        <v>33</v>
      </c>
      <c r="X164" s="153" t="s">
        <v>69</v>
      </c>
      <c r="Y164" s="178"/>
      <c r="Z164" s="178"/>
      <c r="AA164" s="178"/>
      <c r="AB164" s="153" t="s">
        <v>72</v>
      </c>
      <c r="AC164" s="153" t="s">
        <v>80</v>
      </c>
      <c r="AD164" s="187" t="s">
        <v>81</v>
      </c>
      <c r="AE164" s="183" t="s">
        <v>77</v>
      </c>
      <c r="AF164" s="220" t="s">
        <v>107</v>
      </c>
      <c r="AG164" s="153" t="s">
        <v>79</v>
      </c>
      <c r="AH164" s="153" t="s">
        <v>82</v>
      </c>
      <c r="AI164" s="153" t="s">
        <v>34</v>
      </c>
      <c r="AJ164" s="153" t="s">
        <v>69</v>
      </c>
      <c r="AK164" s="178"/>
      <c r="AL164" s="178"/>
      <c r="AM164" s="153" t="s">
        <v>72</v>
      </c>
      <c r="AN164" s="153" t="s">
        <v>80</v>
      </c>
      <c r="AO164" s="187" t="s">
        <v>81</v>
      </c>
      <c r="AP164" s="183" t="s">
        <v>77</v>
      </c>
      <c r="AQ164" s="220" t="s">
        <v>107</v>
      </c>
      <c r="AR164" s="153" t="s">
        <v>79</v>
      </c>
      <c r="AS164" s="153" t="s">
        <v>82</v>
      </c>
      <c r="AT164" s="153" t="s">
        <v>34</v>
      </c>
      <c r="AU164" s="153" t="s">
        <v>69</v>
      </c>
      <c r="AV164" s="202"/>
      <c r="AW164" s="202"/>
      <c r="AX164" s="202"/>
      <c r="AY164" s="202"/>
      <c r="AZ164" s="178"/>
      <c r="BA164" s="311"/>
      <c r="BB164" s="12"/>
      <c r="BC164" s="227"/>
      <c r="BD164" s="275"/>
      <c r="BE164" s="12"/>
    </row>
    <row r="165" spans="1:59" ht="14.25" customHeight="1" thickBot="1" x14ac:dyDescent="0.3">
      <c r="A165" s="296"/>
      <c r="B165" s="12"/>
      <c r="C165" s="115"/>
      <c r="D165" s="188"/>
      <c r="E165" s="221">
        <f>BB159</f>
        <v>1</v>
      </c>
      <c r="F165" s="190">
        <f>IF($D$4=2024,1,0)</f>
        <v>0</v>
      </c>
      <c r="G165" s="178">
        <f>IF($B166="Yes",$C$5,$I167)</f>
        <v>12</v>
      </c>
      <c r="H165" s="191">
        <f>VLOOKUP(H166,'Lookup Tables'!$A$22:$B$33,2,FALSE)</f>
        <v>3</v>
      </c>
      <c r="I165" s="192">
        <f>VLOOKUP($E$4,'Lookup Tables'!$AB$46:$AN$58,MATCH($H165,'Lookup Tables'!$AB$46:$AN$46),FALSE)</f>
        <v>12</v>
      </c>
      <c r="J165" s="190">
        <f>12-I165</f>
        <v>0</v>
      </c>
      <c r="K165" s="190">
        <f>IF(G165&lt;J165,G165,J165)</f>
        <v>0</v>
      </c>
      <c r="L165" s="195">
        <f>IF(12-I165&gt;=1,1,0)</f>
        <v>0</v>
      </c>
      <c r="M165" s="202">
        <f>((('Rate Tables'!$D49*$E165)*PersonCalcYr2!$K165)*L165)*$F165</f>
        <v>0</v>
      </c>
      <c r="N165" s="197">
        <f>G165-(J165*L165)</f>
        <v>12</v>
      </c>
      <c r="O165" s="178"/>
      <c r="P165" s="197">
        <f>IF(N165&lt;0,N165*0,1)*N165</f>
        <v>12</v>
      </c>
      <c r="Q165" s="198">
        <f>VLOOKUP($H166,'Lookup Tables'!$A$22:$B$33,2,FALSE)+(K165*L165)</f>
        <v>3</v>
      </c>
      <c r="R165" s="199" t="str">
        <f>VLOOKUP(Q165,'Lookup Tables'!$A$38:$B$151,2,FALSE)</f>
        <v>Sept</v>
      </c>
      <c r="S165" s="191">
        <f>VLOOKUP(R165,'Lookup Tables'!$A$22:$B$33,2,FALSE)</f>
        <v>3</v>
      </c>
      <c r="T165" s="672">
        <f>VLOOKUP($E$4,'Lookup Tables'!$AQ$46:$BC$58,MATCH(PersonCalcYr2!$S165,'Lookup Tables'!$AQ$46:$BC$46),FALSE)</f>
        <v>10</v>
      </c>
      <c r="U165" s="190">
        <f>IF(P165&lt;T165,P165,T165)</f>
        <v>10</v>
      </c>
      <c r="V165" s="195">
        <f>IF((U165)&lt;=0,0,1)</f>
        <v>1</v>
      </c>
      <c r="W165" s="202">
        <f>(('Rate Tables'!$E49*$E165)*PersonCalcYr2!$U165)*$V165*$F165</f>
        <v>0</v>
      </c>
      <c r="X165" s="197">
        <f>P165-(U165*V165)</f>
        <v>2</v>
      </c>
      <c r="Y165" s="178"/>
      <c r="Z165" s="178"/>
      <c r="AA165" s="178"/>
      <c r="AB165" s="197">
        <f>IF(X165&lt;0,X165*0,1)*X165</f>
        <v>2</v>
      </c>
      <c r="AC165" s="203">
        <f>S165+(U165*V165)</f>
        <v>13</v>
      </c>
      <c r="AD165" s="199" t="str">
        <f>VLOOKUP(AC165,'Lookup Tables'!$A$38:$B$151,2,FALSE)</f>
        <v>July</v>
      </c>
      <c r="AE165" s="191">
        <f>VLOOKUP(AD165,'Lookup Tables'!$A$22:$B$33,2,FALSE)</f>
        <v>1</v>
      </c>
      <c r="AF165" s="222">
        <f>VLOOKUP($AE165,'Lookup Tables'!$AC$3:$AW$16,MATCH(PersonCalcYr2!$AB165,'Lookup Tables'!$AC$3:$AW$3),FALSE)</f>
        <v>2</v>
      </c>
      <c r="AG165" s="190">
        <f>IF(AB165&lt;AF165,AB165,AF165)</f>
        <v>2</v>
      </c>
      <c r="AH165" s="195">
        <f>IF((AG165)&lt;=0,0,1)</f>
        <v>1</v>
      </c>
      <c r="AI165" s="202">
        <f>(('Rate Tables'!$F49*$E165)*PersonCalcYr2!AG165)*AH165*$F165</f>
        <v>0</v>
      </c>
      <c r="AJ165" s="197">
        <f>AB165-(AG165*AH165)</f>
        <v>0</v>
      </c>
      <c r="AK165" s="178"/>
      <c r="AL165" s="178"/>
      <c r="AM165" s="197">
        <f>IF(AJ165&lt;0,AJ165*0,1)*AJ165</f>
        <v>0</v>
      </c>
      <c r="AN165" s="203">
        <f>AE165+(AG165*AH165)</f>
        <v>3</v>
      </c>
      <c r="AO165" s="199" t="str">
        <f>VLOOKUP(AN165,'Lookup Tables'!$A$38:$B$151,2,FALSE)</f>
        <v>Sept</v>
      </c>
      <c r="AP165" s="191">
        <f>VLOOKUP(AO165,'Lookup Tables'!$A$22:$B$33,2,FALSE)</f>
        <v>3</v>
      </c>
      <c r="AQ165" s="222">
        <f>VLOOKUP($AP165,'Lookup Tables'!$AC$3:$AW$16,MATCH(PersonCalcYr2!$AM165,'Lookup Tables'!$AC$3:$AW$3),FALSE)</f>
        <v>0</v>
      </c>
      <c r="AR165" s="190">
        <f>IF(AM165&lt;AQ165,AM165,AQ165)</f>
        <v>0</v>
      </c>
      <c r="AS165" s="195">
        <f>IF((AR165)&lt;=0,0,1)</f>
        <v>0</v>
      </c>
      <c r="AT165" s="202">
        <f>(('Rate Tables'!$G49*$E165)*PersonCalcYr2!AR165)*AS165*$F165</f>
        <v>0</v>
      </c>
      <c r="AU165" s="197">
        <f>AM165-(AR165*AS165)</f>
        <v>0</v>
      </c>
      <c r="AV165" s="202"/>
      <c r="AW165" s="202"/>
      <c r="AX165" s="202"/>
      <c r="AY165" s="202"/>
      <c r="AZ165" s="178"/>
      <c r="BA165" s="311"/>
      <c r="BB165" s="12"/>
      <c r="BC165" s="227"/>
      <c r="BD165" s="275"/>
      <c r="BE165" s="12"/>
    </row>
    <row r="166" spans="1:59" ht="14.25" customHeight="1" thickBot="1" x14ac:dyDescent="0.3">
      <c r="A166" s="377" t="s">
        <v>431</v>
      </c>
      <c r="B166" s="375" t="str">
        <f>Personnel!M59</f>
        <v>YES</v>
      </c>
      <c r="C166" s="12"/>
      <c r="D166" s="178"/>
      <c r="E166" s="178"/>
      <c r="F166" s="178"/>
      <c r="G166" s="178" t="s">
        <v>430</v>
      </c>
      <c r="H166" s="178" t="str">
        <f>IF(B166="yes",$C$4,A168)</f>
        <v>Sept</v>
      </c>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53"/>
      <c r="AK166" s="178"/>
      <c r="AL166" s="178"/>
      <c r="AM166" s="178"/>
      <c r="AN166" s="178"/>
      <c r="AO166" s="178"/>
      <c r="AP166" s="178"/>
      <c r="AQ166" s="178"/>
      <c r="AR166" s="178"/>
      <c r="AS166" s="178"/>
      <c r="AT166" s="178"/>
      <c r="AU166" s="178"/>
      <c r="AV166" s="178"/>
      <c r="AW166" s="178"/>
      <c r="AX166" s="178"/>
      <c r="AY166" s="178"/>
      <c r="AZ166" s="178"/>
      <c r="BA166" s="227"/>
      <c r="BB166" s="12"/>
      <c r="BC166" s="278" t="s">
        <v>415</v>
      </c>
      <c r="BD166" s="279">
        <f>BD159*BD163</f>
        <v>0</v>
      </c>
      <c r="BE166" s="398">
        <f>BD159+BD166+BE163</f>
        <v>0</v>
      </c>
    </row>
    <row r="167" spans="1:59" ht="14.25" customHeight="1" x14ac:dyDescent="0.25">
      <c r="A167" s="296" t="s">
        <v>439</v>
      </c>
      <c r="B167" s="114" t="s">
        <v>427</v>
      </c>
      <c r="C167" s="12"/>
      <c r="D167" s="178"/>
      <c r="E167" s="178"/>
      <c r="F167" s="178"/>
      <c r="G167" s="491" t="s">
        <v>555</v>
      </c>
      <c r="H167" s="11">
        <f>IF(H168&lt;$C$5,H168,$C$5)</f>
        <v>12</v>
      </c>
      <c r="I167" s="178">
        <f>IF(B168&lt;=H168,B168,H168)</f>
        <v>0</v>
      </c>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97"/>
      <c r="AK167" s="178"/>
      <c r="AL167" s="178"/>
      <c r="AM167" s="178"/>
      <c r="AN167" s="178"/>
      <c r="AO167" s="178"/>
      <c r="AP167" s="178"/>
      <c r="AQ167" s="178"/>
      <c r="AR167" s="178"/>
      <c r="AS167" s="178"/>
      <c r="AT167" s="178"/>
      <c r="AU167" s="178"/>
      <c r="AV167" s="178"/>
      <c r="AW167" s="178"/>
      <c r="AX167" s="178"/>
      <c r="AY167" s="178"/>
      <c r="AZ167" s="178"/>
      <c r="BA167" s="227"/>
      <c r="BB167" s="12"/>
      <c r="BC167" s="278"/>
      <c r="BD167" s="284"/>
      <c r="BE167" s="399"/>
    </row>
    <row r="168" spans="1:59" ht="14.25" customHeight="1" x14ac:dyDescent="0.25">
      <c r="A168" s="380">
        <f>Personnel!M60</f>
        <v>0</v>
      </c>
      <c r="B168" s="273">
        <f>Personnel!M61</f>
        <v>0</v>
      </c>
      <c r="C168" s="12"/>
      <c r="D168" s="178"/>
      <c r="E168" s="178"/>
      <c r="F168" s="178"/>
      <c r="G168" s="178"/>
      <c r="H168" s="175">
        <f>VLOOKUP($E$4,'Lookup Tables'!$L$46:$AA$58,MATCH($H$161,'Lookup Tables'!$L$46:$X$46),FALSE)</f>
        <v>12</v>
      </c>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8"/>
      <c r="AY168" s="178"/>
      <c r="AZ168" s="178"/>
      <c r="BA168" s="227"/>
      <c r="BB168" s="12"/>
      <c r="BC168" s="278"/>
      <c r="BD168" s="284"/>
      <c r="BE168" s="369"/>
    </row>
    <row r="169" spans="1:59" ht="6.75" customHeight="1" thickBot="1" x14ac:dyDescent="0.3">
      <c r="A169" s="297"/>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49"/>
      <c r="AQ169" s="149"/>
      <c r="AR169" s="149"/>
      <c r="AS169" s="149"/>
      <c r="AT169" s="149"/>
      <c r="AU169" s="149"/>
      <c r="AV169" s="149"/>
      <c r="AW169" s="149"/>
      <c r="AX169" s="149"/>
      <c r="AY169" s="149"/>
      <c r="AZ169" s="149"/>
      <c r="BA169" s="280"/>
      <c r="BB169" s="149"/>
      <c r="BC169" s="149"/>
      <c r="BD169" s="281"/>
      <c r="BE169" s="149"/>
    </row>
    <row r="170" spans="1:59" ht="10.5" customHeight="1" x14ac:dyDescent="0.25">
      <c r="A170" s="299"/>
    </row>
    <row r="171" spans="1:59" ht="18.75" x14ac:dyDescent="0.3">
      <c r="A171" s="264" t="s">
        <v>191</v>
      </c>
      <c r="B171" s="262"/>
      <c r="C171" s="262"/>
      <c r="D171" s="262"/>
      <c r="E171" s="262"/>
      <c r="F171" s="262"/>
      <c r="G171" s="262"/>
      <c r="H171" s="262"/>
      <c r="I171" s="262"/>
      <c r="J171" s="262"/>
      <c r="K171" s="262"/>
      <c r="L171" s="262"/>
      <c r="M171" s="262"/>
      <c r="N171" s="262"/>
      <c r="O171" s="262"/>
      <c r="P171" s="262"/>
      <c r="Q171" s="262"/>
      <c r="R171" s="262"/>
      <c r="S171" s="262"/>
      <c r="T171" s="262"/>
      <c r="U171" s="262"/>
      <c r="V171" s="262"/>
      <c r="W171" s="262"/>
      <c r="X171" s="262"/>
      <c r="Y171" s="262"/>
      <c r="Z171" s="262"/>
      <c r="AA171" s="262"/>
      <c r="AB171" s="262"/>
      <c r="AC171" s="262"/>
      <c r="AD171" s="262"/>
      <c r="AE171" s="262"/>
      <c r="AF171" s="262"/>
      <c r="AG171" s="262"/>
      <c r="AH171" s="262"/>
      <c r="AI171" s="262"/>
      <c r="AJ171" s="262"/>
      <c r="AK171" s="262"/>
      <c r="AL171" s="262"/>
      <c r="AM171" s="262"/>
      <c r="AN171" s="262"/>
      <c r="AO171" s="262"/>
      <c r="AP171" s="262"/>
      <c r="AQ171" s="262"/>
      <c r="AR171" s="262"/>
      <c r="AS171" s="262"/>
      <c r="AT171" s="262"/>
      <c r="AU171" s="262"/>
      <c r="AV171" s="262"/>
      <c r="AW171" s="262"/>
      <c r="AX171" s="262"/>
      <c r="AY171" s="262"/>
      <c r="AZ171" s="262"/>
      <c r="BA171" s="310"/>
      <c r="BB171" s="262"/>
      <c r="BC171" s="262"/>
      <c r="BD171" s="262"/>
      <c r="BE171" s="262"/>
    </row>
    <row r="172" spans="1:59" x14ac:dyDescent="0.25">
      <c r="A172" s="263" t="s">
        <v>170</v>
      </c>
      <c r="B172" s="355" t="str">
        <f>Personnel!C66</f>
        <v>12 Month</v>
      </c>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227"/>
      <c r="BB172" s="12"/>
      <c r="BC172" s="12"/>
      <c r="BD172" s="275"/>
      <c r="BE172" s="12"/>
      <c r="BG172" s="313"/>
    </row>
    <row r="173" spans="1:59" ht="13.5" customHeight="1" x14ac:dyDescent="0.25">
      <c r="A173" s="258" t="s">
        <v>174</v>
      </c>
      <c r="B173" s="155" t="s">
        <v>12</v>
      </c>
      <c r="C173" s="259" t="s">
        <v>605</v>
      </c>
      <c r="D173" s="12"/>
      <c r="E173" s="12"/>
      <c r="F173" s="12"/>
      <c r="G173" s="729" t="s">
        <v>182</v>
      </c>
      <c r="H173" s="12"/>
      <c r="I173" s="12"/>
      <c r="J173" s="12"/>
      <c r="K173" s="12"/>
      <c r="L173" s="12"/>
      <c r="M173" s="12" t="s">
        <v>167</v>
      </c>
      <c r="N173" s="12"/>
      <c r="O173" s="12">
        <v>21</v>
      </c>
      <c r="P173" s="12"/>
      <c r="Q173" s="12"/>
      <c r="R173" s="12"/>
      <c r="S173" s="12"/>
      <c r="T173" s="12"/>
      <c r="U173" s="12"/>
      <c r="V173" s="12"/>
      <c r="W173" s="12"/>
      <c r="X173" s="12"/>
      <c r="Y173" s="12" t="s">
        <v>168</v>
      </c>
      <c r="Z173" s="12"/>
      <c r="AA173" s="12">
        <v>22</v>
      </c>
      <c r="AB173" s="12"/>
      <c r="AC173" s="12"/>
      <c r="AD173" s="12"/>
      <c r="AE173" s="12"/>
      <c r="AF173" s="12"/>
      <c r="AG173" s="12"/>
      <c r="AH173" s="12"/>
      <c r="AI173" s="12"/>
      <c r="AJ173" s="12" t="s">
        <v>169</v>
      </c>
      <c r="AK173" s="12"/>
      <c r="AL173" s="12">
        <v>23</v>
      </c>
      <c r="AM173" s="12"/>
      <c r="AN173" s="12"/>
      <c r="AO173" s="12"/>
      <c r="AP173" s="12"/>
      <c r="AQ173" s="12"/>
      <c r="AR173" s="12"/>
      <c r="AS173" s="12"/>
      <c r="AT173" s="12"/>
      <c r="AU173" s="12" t="s">
        <v>169</v>
      </c>
      <c r="AV173" s="12"/>
      <c r="AW173" s="12">
        <v>23</v>
      </c>
      <c r="AX173" s="12"/>
      <c r="AY173" s="12"/>
      <c r="AZ173" s="12"/>
      <c r="BA173" s="227"/>
      <c r="BB173" s="12"/>
      <c r="BC173" s="12"/>
      <c r="BD173" s="275"/>
      <c r="BE173" s="12"/>
      <c r="BG173" s="313"/>
    </row>
    <row r="174" spans="1:59" ht="13.5" customHeight="1" x14ac:dyDescent="0.25">
      <c r="A174" s="356">
        <f>Personnel!C67</f>
        <v>0</v>
      </c>
      <c r="B174" s="357">
        <f>Personnel!C68</f>
        <v>0</v>
      </c>
      <c r="C174" s="115">
        <f>(B174*9)*2</f>
        <v>0</v>
      </c>
      <c r="D174" s="12"/>
      <c r="E174" s="12"/>
      <c r="F174" s="12"/>
      <c r="G174" s="12"/>
      <c r="H174" s="12"/>
      <c r="I174" s="12"/>
      <c r="J174" s="12"/>
      <c r="K174" s="12"/>
      <c r="L174" s="12"/>
      <c r="M174" s="12"/>
      <c r="N174" s="12"/>
      <c r="O174" s="12">
        <v>22</v>
      </c>
      <c r="P174" s="12"/>
      <c r="Q174" s="12"/>
      <c r="R174" s="12"/>
      <c r="S174" s="12"/>
      <c r="T174" s="12"/>
      <c r="U174" s="12"/>
      <c r="V174" s="12"/>
      <c r="W174" s="12"/>
      <c r="X174" s="12"/>
      <c r="Y174" s="12"/>
      <c r="Z174" s="12"/>
      <c r="AA174" s="12">
        <v>23</v>
      </c>
      <c r="AB174" s="12"/>
      <c r="AC174" s="12"/>
      <c r="AD174" s="12"/>
      <c r="AE174" s="12"/>
      <c r="AF174" s="12"/>
      <c r="AG174" s="12"/>
      <c r="AH174" s="12"/>
      <c r="AI174" s="12"/>
      <c r="AJ174" s="12"/>
      <c r="AK174" s="12"/>
      <c r="AL174" s="12">
        <v>24</v>
      </c>
      <c r="AM174" s="12"/>
      <c r="AN174" s="12"/>
      <c r="AO174" s="12"/>
      <c r="AP174" s="12"/>
      <c r="AQ174" s="12"/>
      <c r="AR174" s="12"/>
      <c r="AS174" s="12"/>
      <c r="AT174" s="12"/>
      <c r="AU174" s="12"/>
      <c r="AV174" s="12"/>
      <c r="AW174" s="12">
        <v>24</v>
      </c>
      <c r="AX174" s="12"/>
      <c r="AY174" s="12"/>
      <c r="AZ174" s="12"/>
      <c r="BA174" s="306" t="s">
        <v>412</v>
      </c>
      <c r="BB174" s="348">
        <f>Personnel!O67</f>
        <v>0</v>
      </c>
      <c r="BC174" s="276" t="s">
        <v>414</v>
      </c>
      <c r="BD174" s="285">
        <f>(N176+Z176+AK176+AV176+N178+Z178+AK178+AV178+N180+Z180+AK180+AV180)*AY176</f>
        <v>0</v>
      </c>
      <c r="BE174" s="15"/>
      <c r="BG174" s="313"/>
    </row>
    <row r="175" spans="1:59" ht="13.5" customHeight="1" x14ac:dyDescent="0.25">
      <c r="A175" s="145"/>
      <c r="B175" s="12"/>
      <c r="C175" s="117" t="s">
        <v>30</v>
      </c>
      <c r="D175" s="12"/>
      <c r="E175" s="13" t="s">
        <v>16</v>
      </c>
      <c r="F175" s="13" t="s">
        <v>42</v>
      </c>
      <c r="G175" s="13" t="s">
        <v>41</v>
      </c>
      <c r="H175" s="65" t="s">
        <v>77</v>
      </c>
      <c r="I175" s="64" t="s">
        <v>90</v>
      </c>
      <c r="J175" s="63" t="s">
        <v>70</v>
      </c>
      <c r="K175" s="52" t="s">
        <v>93</v>
      </c>
      <c r="L175" s="13" t="s">
        <v>35</v>
      </c>
      <c r="M175" s="13" t="s">
        <v>82</v>
      </c>
      <c r="N175" s="13" t="s">
        <v>31</v>
      </c>
      <c r="O175" s="14" t="s">
        <v>69</v>
      </c>
      <c r="P175" s="13" t="s">
        <v>72</v>
      </c>
      <c r="Q175" s="65" t="s">
        <v>80</v>
      </c>
      <c r="R175" s="62" t="s">
        <v>81</v>
      </c>
      <c r="S175" s="65" t="s">
        <v>77</v>
      </c>
      <c r="T175" s="600" t="s">
        <v>83</v>
      </c>
      <c r="U175" s="63" t="s">
        <v>70</v>
      </c>
      <c r="V175" s="13" t="s">
        <v>91</v>
      </c>
      <c r="W175" s="13" t="s">
        <v>43</v>
      </c>
      <c r="X175" s="13" t="s">
        <v>53</v>
      </c>
      <c r="Y175" s="13" t="s">
        <v>68</v>
      </c>
      <c r="Z175" s="13" t="s">
        <v>32</v>
      </c>
      <c r="AA175" s="14" t="s">
        <v>69</v>
      </c>
      <c r="AB175" s="13" t="s">
        <v>72</v>
      </c>
      <c r="AC175" s="13" t="s">
        <v>80</v>
      </c>
      <c r="AD175" s="62" t="s">
        <v>81</v>
      </c>
      <c r="AE175" s="65" t="s">
        <v>77</v>
      </c>
      <c r="AF175" s="63" t="s">
        <v>70</v>
      </c>
      <c r="AG175" s="13" t="s">
        <v>92</v>
      </c>
      <c r="AH175" s="13" t="s">
        <v>44</v>
      </c>
      <c r="AI175" s="13" t="s">
        <v>78</v>
      </c>
      <c r="AJ175" s="13" t="s">
        <v>68</v>
      </c>
      <c r="AK175" s="13" t="s">
        <v>33</v>
      </c>
      <c r="AL175" s="14" t="s">
        <v>69</v>
      </c>
      <c r="AM175" s="13" t="s">
        <v>72</v>
      </c>
      <c r="AN175" s="13" t="s">
        <v>80</v>
      </c>
      <c r="AO175" s="62" t="s">
        <v>81</v>
      </c>
      <c r="AP175" s="65" t="s">
        <v>77</v>
      </c>
      <c r="AQ175" s="63" t="s">
        <v>70</v>
      </c>
      <c r="AR175" s="13" t="s">
        <v>94</v>
      </c>
      <c r="AS175" s="13" t="s">
        <v>45</v>
      </c>
      <c r="AT175" s="13" t="s">
        <v>79</v>
      </c>
      <c r="AU175" s="13" t="s">
        <v>68</v>
      </c>
      <c r="AV175" s="13" t="s">
        <v>33</v>
      </c>
      <c r="AW175" s="14" t="s">
        <v>69</v>
      </c>
      <c r="AX175" s="13"/>
      <c r="AY175" s="13" t="s">
        <v>159</v>
      </c>
      <c r="AZ175" s="12"/>
      <c r="BA175" s="227"/>
      <c r="BB175" s="349"/>
      <c r="BC175" s="227"/>
      <c r="BD175" s="285"/>
      <c r="BE175" s="15"/>
    </row>
    <row r="176" spans="1:59" ht="13.5" customHeight="1" x14ac:dyDescent="0.25">
      <c r="A176" s="145"/>
      <c r="B176" s="12"/>
      <c r="C176" s="115"/>
      <c r="D176" s="12"/>
      <c r="E176" s="118">
        <f>BB174</f>
        <v>0</v>
      </c>
      <c r="F176" s="19">
        <f>IF($D$4=2022,1,0)</f>
        <v>0</v>
      </c>
      <c r="G176" s="178">
        <f>IF($B210="Yes",$C$5,$I209)</f>
        <v>12</v>
      </c>
      <c r="H176" s="36">
        <f>VLOOKUP(H208,'Lookup Tables'!$A$22:$B$33,2,FALSE)</f>
        <v>3</v>
      </c>
      <c r="I176" s="192">
        <f>VLOOKUP($E$4,'Lookup Tables'!$AB$46:$AN$58,MATCH($H176,'Lookup Tables'!$AB$46:$AN$46),FALSE)</f>
        <v>12</v>
      </c>
      <c r="J176" s="586">
        <f>VLOOKUP(H176,'Lookup Tables'!$A$3:$AA$16,MATCH(PersonCalcYr2!$G176,'Lookup Tables'!$A$3:$AA$3),FALSE)</f>
        <v>1.5161</v>
      </c>
      <c r="K176" s="54">
        <f>VLOOKUP($H208,'Lookup Tables'!$K$23:$L$34,2,FALSE)</f>
        <v>0</v>
      </c>
      <c r="L176" s="129">
        <f>IF(G176&lt;=K176,G176,K176)</f>
        <v>0</v>
      </c>
      <c r="M176" s="195">
        <f>IF(12-I176&gt;=1,1,0)</f>
        <v>0</v>
      </c>
      <c r="N176" s="15">
        <f>(('Rate Tables'!B73*PersonCalcYr2!E176)*PersonCalcYr2!L176)*PersonCalcYr2!F176*M176</f>
        <v>0</v>
      </c>
      <c r="O176" s="28">
        <f>G176-((J176+L176)*M176)</f>
        <v>12</v>
      </c>
      <c r="P176" s="8">
        <f>IF(O176&lt;0,O176*0,1)*O176</f>
        <v>12</v>
      </c>
      <c r="Q176" s="403">
        <f>VLOOKUP($H208,'Lookup Tables'!$A$22:$B$33,2,FALSE)+(L176*M176)+(J176*M176)</f>
        <v>3</v>
      </c>
      <c r="R176" s="121" t="str">
        <f>VLOOKUP(Q176,'Lookup Tables'!$A$38:$B$151,2,FALSE)</f>
        <v>Sept</v>
      </c>
      <c r="S176" s="36">
        <f>VLOOKUP(R176,'Lookup Tables'!$A$22:$B$33,2,FALSE)</f>
        <v>3</v>
      </c>
      <c r="T176" s="599">
        <f>VLOOKUP($E$4,'Lookup Tables'!$AB$63:$AN$75,MATCH(PersonCalcYr2!$S176,'Lookup Tables'!$AB$63:$AN$63),FALSE)</f>
        <v>0.5161</v>
      </c>
      <c r="U176" s="34">
        <f>VLOOKUP(S176,'Lookup Tables'!$A$3:$AA$16,MATCH(PersonCalcYr2!$P176,'Lookup Tables'!$A$3:$AA$3),FALSE)</f>
        <v>1.5161</v>
      </c>
      <c r="V176" s="12">
        <f>9-T176</f>
        <v>8.4839000000000002</v>
      </c>
      <c r="W176" s="587">
        <f>P176-U176</f>
        <v>10.4839</v>
      </c>
      <c r="X176" s="588">
        <f>IF(V176&lt;=W176,V176,W176)</f>
        <v>8.4839000000000002</v>
      </c>
      <c r="Y176" s="195">
        <f>IF(12-T176-U176-X176&gt;=0,1,0)</f>
        <v>1</v>
      </c>
      <c r="Z176" s="20">
        <f>((('Rate Tables'!C73*$E176)*PersonCalcYr2!$X176)*$F176)*Y176</f>
        <v>0</v>
      </c>
      <c r="AA176" s="197">
        <f>O176-(((U176*U182)+X176)*Y176)</f>
        <v>2</v>
      </c>
      <c r="AB176" s="8">
        <f>IF(AA176&lt;0,AA176*0,1)*AA176</f>
        <v>2</v>
      </c>
      <c r="AC176" s="601">
        <f>S176+(X176*Y176)+((U176*U182)*Y176)</f>
        <v>13</v>
      </c>
      <c r="AD176" s="121" t="str">
        <f>VLOOKUP(AC176,'Lookup Tables'!$A$38:$B$151,2,FALSE)</f>
        <v>July</v>
      </c>
      <c r="AE176" s="36">
        <f>VLOOKUP(AD176,'Lookup Tables'!$A$22:$B$33,2,FALSE)</f>
        <v>1</v>
      </c>
      <c r="AF176" s="34">
        <f>VLOOKUP(AE176,'Lookup Tables'!$A$3:$AA$16,MATCH(PersonCalcYr2!AB176,'Lookup Tables'!$A$3:$AA$3),FALSE)</f>
        <v>1.4839</v>
      </c>
      <c r="AG176" s="12">
        <v>9</v>
      </c>
      <c r="AH176" s="122">
        <f>AB176-AF176</f>
        <v>0.5161</v>
      </c>
      <c r="AI176" s="119">
        <f>IF(AG176&lt;=AH176,AG176,AH176)</f>
        <v>0.5161</v>
      </c>
      <c r="AJ176" s="119">
        <f>IF((AG176+AF176)&lt;=0,0,1)</f>
        <v>1</v>
      </c>
      <c r="AK176" s="124">
        <f>((('Rate Tables'!D73*$E176)*PersonCalcYr2!AI176)*$F176)*AJ176</f>
        <v>0</v>
      </c>
      <c r="AL176" s="28">
        <f>AB176-AF176-AI176</f>
        <v>0</v>
      </c>
      <c r="AM176" s="8">
        <f>IF(AL176&lt;0,AL176*0,1)*AL176</f>
        <v>0</v>
      </c>
      <c r="AN176" s="601">
        <f>AE176+(AI176*AJ176)+((AF176*AF182)*AJ176)</f>
        <v>3</v>
      </c>
      <c r="AO176" s="121" t="str">
        <f>VLOOKUP(AN176,'Lookup Tables'!$A$38:$B$151,2,FALSE)</f>
        <v>Sept</v>
      </c>
      <c r="AP176" s="36">
        <f>VLOOKUP(AO176,'Lookup Tables'!$A$22:$B$33,2,FALSE)</f>
        <v>3</v>
      </c>
      <c r="AQ176" s="34">
        <f>VLOOKUP(AP176,'Lookup Tables'!$A$3:$AA$16,MATCH(PersonCalcYr2!AM176,'Lookup Tables'!$A$3:$AA$3),FALSE)</f>
        <v>0</v>
      </c>
      <c r="AR176" s="12">
        <v>9</v>
      </c>
      <c r="AS176" s="122">
        <f>AM176-AQ176</f>
        <v>0</v>
      </c>
      <c r="AT176" s="119">
        <f>IF(AR176&lt;=AS176,AR176,AS176)</f>
        <v>0</v>
      </c>
      <c r="AU176" s="119">
        <f>IF((AR176+AQ176)&lt;=0,0,1)</f>
        <v>1</v>
      </c>
      <c r="AV176" s="124">
        <f>((('Rate Tables'!E73*$E176)*PersonCalcYr2!AT176)*$F176)*AU176</f>
        <v>0</v>
      </c>
      <c r="AW176" s="28">
        <f>AM176-AQ176-AT176</f>
        <v>0</v>
      </c>
      <c r="AX176" s="19"/>
      <c r="AY176" s="19">
        <f>VLOOKUP(B172,'Lookup Tables'!$AK$22:$AM$24,2,0)</f>
        <v>0</v>
      </c>
      <c r="AZ176" s="12"/>
      <c r="BA176" s="227"/>
      <c r="BB176" s="350"/>
      <c r="BC176" s="276" t="s">
        <v>184</v>
      </c>
      <c r="BD176" s="285">
        <f>BD174*'Rate Tables'!P$8</f>
        <v>0</v>
      </c>
      <c r="BE176" s="15"/>
    </row>
    <row r="177" spans="1:59" ht="13.5" customHeight="1" x14ac:dyDescent="0.25">
      <c r="A177" s="145"/>
      <c r="B177" s="12"/>
      <c r="C177" s="117" t="s">
        <v>597</v>
      </c>
      <c r="D177" s="12"/>
      <c r="E177" s="13" t="s">
        <v>16</v>
      </c>
      <c r="F177" s="13" t="s">
        <v>42</v>
      </c>
      <c r="G177" s="13" t="s">
        <v>41</v>
      </c>
      <c r="H177" s="65" t="s">
        <v>77</v>
      </c>
      <c r="I177" s="64" t="s">
        <v>90</v>
      </c>
      <c r="J177" s="63" t="s">
        <v>70</v>
      </c>
      <c r="K177" s="52" t="s">
        <v>109</v>
      </c>
      <c r="L177" s="13" t="s">
        <v>53</v>
      </c>
      <c r="M177" s="13" t="s">
        <v>82</v>
      </c>
      <c r="N177" s="13" t="s">
        <v>32</v>
      </c>
      <c r="O177" s="14" t="s">
        <v>69</v>
      </c>
      <c r="P177" s="13" t="s">
        <v>72</v>
      </c>
      <c r="Q177" s="65" t="s">
        <v>80</v>
      </c>
      <c r="R177" s="62" t="s">
        <v>81</v>
      </c>
      <c r="S177" s="65" t="s">
        <v>77</v>
      </c>
      <c r="T177" s="600" t="s">
        <v>83</v>
      </c>
      <c r="U177" s="63" t="s">
        <v>70</v>
      </c>
      <c r="V177" s="13" t="s">
        <v>92</v>
      </c>
      <c r="W177" s="13" t="s">
        <v>44</v>
      </c>
      <c r="X177" s="13" t="s">
        <v>78</v>
      </c>
      <c r="Y177" s="13" t="s">
        <v>68</v>
      </c>
      <c r="Z177" s="13" t="s">
        <v>33</v>
      </c>
      <c r="AA177" s="14" t="s">
        <v>69</v>
      </c>
      <c r="AB177" s="13" t="s">
        <v>72</v>
      </c>
      <c r="AC177" s="13" t="s">
        <v>80</v>
      </c>
      <c r="AD177" s="62" t="s">
        <v>81</v>
      </c>
      <c r="AE177" s="65" t="s">
        <v>77</v>
      </c>
      <c r="AF177" s="63" t="s">
        <v>70</v>
      </c>
      <c r="AG177" s="13" t="s">
        <v>94</v>
      </c>
      <c r="AH177" s="13" t="s">
        <v>45</v>
      </c>
      <c r="AI177" s="13" t="s">
        <v>79</v>
      </c>
      <c r="AJ177" s="13" t="s">
        <v>68</v>
      </c>
      <c r="AK177" s="13" t="s">
        <v>34</v>
      </c>
      <c r="AL177" s="14" t="s">
        <v>69</v>
      </c>
      <c r="AM177" s="13" t="s">
        <v>72</v>
      </c>
      <c r="AN177" s="13" t="s">
        <v>80</v>
      </c>
      <c r="AO177" s="62" t="s">
        <v>81</v>
      </c>
      <c r="AP177" s="65" t="s">
        <v>77</v>
      </c>
      <c r="AQ177" s="63" t="s">
        <v>70</v>
      </c>
      <c r="AR177" s="13" t="s">
        <v>607</v>
      </c>
      <c r="AS177" s="13" t="s">
        <v>608</v>
      </c>
      <c r="AT177" s="13" t="s">
        <v>601</v>
      </c>
      <c r="AU177" s="13" t="s">
        <v>68</v>
      </c>
      <c r="AV177" s="13" t="s">
        <v>34</v>
      </c>
      <c r="AW177" s="14" t="s">
        <v>69</v>
      </c>
      <c r="AX177" s="13"/>
      <c r="AY177" s="13"/>
      <c r="AZ177" s="12"/>
      <c r="BA177" s="227"/>
      <c r="BB177" s="351"/>
      <c r="BC177" s="227"/>
      <c r="BD177" s="285"/>
      <c r="BE177" s="15"/>
    </row>
    <row r="178" spans="1:59" ht="13.5" customHeight="1" x14ac:dyDescent="0.25">
      <c r="A178" s="145"/>
      <c r="B178" s="12"/>
      <c r="C178" s="115"/>
      <c r="D178" s="12"/>
      <c r="E178" s="118">
        <f>BB174</f>
        <v>0</v>
      </c>
      <c r="F178" s="19">
        <f>IF($D$4=2024,1,0)</f>
        <v>0</v>
      </c>
      <c r="G178" s="178">
        <f>IF($B210="Yes",$C$5,$I209)</f>
        <v>12</v>
      </c>
      <c r="H178" s="36">
        <f>VLOOKUP(H208,'Lookup Tables'!$A$22:$B$33,2,FALSE)</f>
        <v>3</v>
      </c>
      <c r="I178" s="192">
        <f>VLOOKUP($E$4,'Lookup Tables'!$AB$46:$AN$58,MATCH($H178,'Lookup Tables'!$AB$46:$AN$46),FALSE)</f>
        <v>12</v>
      </c>
      <c r="J178" s="586">
        <f>VLOOKUP(H178,'Lookup Tables'!$A$3:$AA$16,MATCH(PersonCalcYr2!$G178,'Lookup Tables'!$A$3:$AA$3),FALSE)</f>
        <v>1.5161</v>
      </c>
      <c r="K178" s="54">
        <f>VLOOKUP($H208,'Lookup Tables'!$K$23:$L$34,2,FALSE)</f>
        <v>0</v>
      </c>
      <c r="L178" s="12">
        <f>IF(G178&lt;=K178,G178,K178)</f>
        <v>0</v>
      </c>
      <c r="M178" s="195">
        <f>IF(12-I178&gt;=1,1,0)</f>
        <v>0</v>
      </c>
      <c r="N178" s="15">
        <f>(('Rate Tables'!C73*PersonCalcYr2!E178)*PersonCalcYr2!L178)*PersonCalcYr2!F178*M178</f>
        <v>0</v>
      </c>
      <c r="O178" s="28">
        <f>G178-((J178+L178)*M178)</f>
        <v>12</v>
      </c>
      <c r="P178" s="8">
        <f>IF(O178&lt;0,O178*0,1)*O178</f>
        <v>12</v>
      </c>
      <c r="Q178" s="120">
        <f>VLOOKUP($H208,'Lookup Tables'!$A$22:$B$33,2,FALSE)+(L178*M178)+(J178*M178)</f>
        <v>3</v>
      </c>
      <c r="R178" s="121" t="str">
        <f>VLOOKUP(Q178,'Lookup Tables'!$A$38:$B$151,2,FALSE)</f>
        <v>Sept</v>
      </c>
      <c r="S178" s="36">
        <f>VLOOKUP(R178,'Lookup Tables'!$A$22:$B$33,2,FALSE)</f>
        <v>3</v>
      </c>
      <c r="T178" s="599">
        <f>VLOOKUP($E$4,'Lookup Tables'!$AB$63:$AN$75,MATCH(PersonCalcYr2!$S178,'Lookup Tables'!$AB$63:$AN$63),FALSE)</f>
        <v>0.5161</v>
      </c>
      <c r="U178" s="34">
        <f>VLOOKUP(S178,'Lookup Tables'!$A$3:$AA$16,MATCH(PersonCalcYr2!$P178,'Lookup Tables'!$A$3:$AA$3),FALSE)</f>
        <v>1.5161</v>
      </c>
      <c r="V178" s="12">
        <f>9-T178</f>
        <v>8.4839000000000002</v>
      </c>
      <c r="W178" s="122">
        <f>P178-U178</f>
        <v>10.4839</v>
      </c>
      <c r="X178" s="119">
        <f>IF(V178&lt;=W178,V178,W178)</f>
        <v>8.4839000000000002</v>
      </c>
      <c r="Y178" s="195">
        <f>IF(12-T178-U178-X178&gt;=0,1,0)</f>
        <v>1</v>
      </c>
      <c r="Z178" s="20">
        <f>((('Rate Tables'!D73*$E178)*PersonCalcYr2!$X178)*$F178)*Y178</f>
        <v>0</v>
      </c>
      <c r="AA178" s="197">
        <f>O178-(((U178*U182)+X178)*Y178)</f>
        <v>2</v>
      </c>
      <c r="AB178" s="8">
        <f>IF(AA178&lt;0,AA178*0,1)*AA178</f>
        <v>2</v>
      </c>
      <c r="AC178" s="601">
        <f>S178+(X178*Y178)+((U178*U182)*Y178)</f>
        <v>13</v>
      </c>
      <c r="AD178" s="121" t="str">
        <f>VLOOKUP(AC178,'Lookup Tables'!$A$38:$B$151,2,FALSE)</f>
        <v>July</v>
      </c>
      <c r="AE178" s="36">
        <f>VLOOKUP(AD178,'Lookup Tables'!$A$22:$B$33,2,FALSE)</f>
        <v>1</v>
      </c>
      <c r="AF178" s="34">
        <f>VLOOKUP(AE178,'Lookup Tables'!$A$3:$AA$16,MATCH(PersonCalcYr2!AB178,'Lookup Tables'!$A$3:$AA$3),FALSE)</f>
        <v>1.4839</v>
      </c>
      <c r="AG178" s="12">
        <v>9</v>
      </c>
      <c r="AH178" s="122">
        <f>AB178-AF178</f>
        <v>0.5161</v>
      </c>
      <c r="AI178" s="119">
        <f>IF(AG178&lt;=AH178,AG178,AH178)</f>
        <v>0.5161</v>
      </c>
      <c r="AJ178" s="119">
        <f>IF((AG178+AF178)&lt;=0,0,1)</f>
        <v>1</v>
      </c>
      <c r="AK178" s="124">
        <f>((('Rate Tables'!E73*$E178)*PersonCalcYr2!AI178)*$F178)*AJ178</f>
        <v>0</v>
      </c>
      <c r="AL178" s="28">
        <f>AB178-AF178-AI178</f>
        <v>0</v>
      </c>
      <c r="AM178" s="8">
        <f>IF(AL178&lt;0,AL178*0,1)*AL178</f>
        <v>0</v>
      </c>
      <c r="AN178" s="601">
        <f>AE178+(AI178*AJ178)+((AF178*AF182)*AJ178)</f>
        <v>3</v>
      </c>
      <c r="AO178" s="121" t="str">
        <f>VLOOKUP(AN178,'Lookup Tables'!$A$38:$B$151,2,FALSE)</f>
        <v>Sept</v>
      </c>
      <c r="AP178" s="36">
        <f>VLOOKUP(AO178,'Lookup Tables'!$A$22:$B$33,2,FALSE)</f>
        <v>3</v>
      </c>
      <c r="AQ178" s="34">
        <f>VLOOKUP(AP178,'Lookup Tables'!$A$3:$AA$16,MATCH(PersonCalcYr2!AM178,'Lookup Tables'!$A$3:$AA$3),FALSE)</f>
        <v>0</v>
      </c>
      <c r="AR178" s="12">
        <v>9</v>
      </c>
      <c r="AS178" s="122">
        <f>AM178-AQ178</f>
        <v>0</v>
      </c>
      <c r="AT178" s="119">
        <f>IF(AR178&lt;=AS178,AR178,AS178)</f>
        <v>0</v>
      </c>
      <c r="AU178" s="119">
        <f>IF((AR178+AQ178)&lt;=0,0,1)</f>
        <v>1</v>
      </c>
      <c r="AV178" s="124">
        <f>((('Rate Tables'!F73*$E178)*PersonCalcYr2!AT178)*$F178)*AU178</f>
        <v>0</v>
      </c>
      <c r="AW178" s="28">
        <f>AM178-AQ178-AT178</f>
        <v>0</v>
      </c>
      <c r="AX178" s="19"/>
      <c r="AY178" s="19"/>
      <c r="AZ178" s="12"/>
      <c r="BA178" s="1199" t="s">
        <v>580</v>
      </c>
      <c r="BB178" s="349"/>
      <c r="BC178" s="276" t="s">
        <v>134</v>
      </c>
      <c r="BD178" s="285">
        <f>(((O182+O183+O184+AA182+AA183+AA184+AL182+AL183+AL184+AW182+AW183+AW184)*AY182)*BD181)*BB183</f>
        <v>0</v>
      </c>
      <c r="BE178" s="15"/>
    </row>
    <row r="179" spans="1:59" ht="13.5" customHeight="1" x14ac:dyDescent="0.25">
      <c r="A179" s="145"/>
      <c r="B179" s="12"/>
      <c r="C179" s="117" t="s">
        <v>664</v>
      </c>
      <c r="D179" s="12"/>
      <c r="E179" s="13" t="s">
        <v>16</v>
      </c>
      <c r="F179" s="13" t="s">
        <v>42</v>
      </c>
      <c r="G179" s="13" t="s">
        <v>41</v>
      </c>
      <c r="H179" s="65" t="s">
        <v>77</v>
      </c>
      <c r="I179" s="64" t="s">
        <v>90</v>
      </c>
      <c r="J179" s="63" t="s">
        <v>70</v>
      </c>
      <c r="K179" s="52" t="s">
        <v>620</v>
      </c>
      <c r="L179" s="13" t="s">
        <v>78</v>
      </c>
      <c r="M179" s="13" t="s">
        <v>82</v>
      </c>
      <c r="N179" s="13" t="s">
        <v>33</v>
      </c>
      <c r="O179" s="14" t="s">
        <v>69</v>
      </c>
      <c r="P179" s="13" t="s">
        <v>72</v>
      </c>
      <c r="Q179" s="65" t="s">
        <v>80</v>
      </c>
      <c r="R179" s="62" t="s">
        <v>81</v>
      </c>
      <c r="S179" s="65" t="s">
        <v>77</v>
      </c>
      <c r="T179" s="600" t="s">
        <v>83</v>
      </c>
      <c r="U179" s="63" t="s">
        <v>70</v>
      </c>
      <c r="V179" s="13" t="s">
        <v>94</v>
      </c>
      <c r="W179" s="13" t="s">
        <v>45</v>
      </c>
      <c r="X179" s="13" t="s">
        <v>79</v>
      </c>
      <c r="Y179" s="13" t="s">
        <v>68</v>
      </c>
      <c r="Z179" s="13" t="s">
        <v>34</v>
      </c>
      <c r="AA179" s="14" t="s">
        <v>69</v>
      </c>
      <c r="AB179" s="13" t="s">
        <v>72</v>
      </c>
      <c r="AC179" s="13" t="s">
        <v>80</v>
      </c>
      <c r="AD179" s="62" t="s">
        <v>81</v>
      </c>
      <c r="AE179" s="65" t="s">
        <v>77</v>
      </c>
      <c r="AF179" s="63" t="s">
        <v>70</v>
      </c>
      <c r="AG179" s="13" t="s">
        <v>607</v>
      </c>
      <c r="AH179" s="13" t="s">
        <v>608</v>
      </c>
      <c r="AI179" s="13" t="s">
        <v>601</v>
      </c>
      <c r="AJ179" s="13" t="s">
        <v>68</v>
      </c>
      <c r="AK179" s="13" t="s">
        <v>602</v>
      </c>
      <c r="AL179" s="14" t="s">
        <v>69</v>
      </c>
      <c r="AM179" s="13" t="s">
        <v>72</v>
      </c>
      <c r="AN179" s="13" t="s">
        <v>80</v>
      </c>
      <c r="AO179" s="62" t="s">
        <v>81</v>
      </c>
      <c r="AP179" s="65" t="s">
        <v>77</v>
      </c>
      <c r="AQ179" s="63" t="s">
        <v>70</v>
      </c>
      <c r="AR179" s="13" t="s">
        <v>621</v>
      </c>
      <c r="AS179" s="13" t="s">
        <v>622</v>
      </c>
      <c r="AT179" s="13" t="s">
        <v>623</v>
      </c>
      <c r="AU179" s="13" t="s">
        <v>68</v>
      </c>
      <c r="AV179" s="13" t="s">
        <v>34</v>
      </c>
      <c r="AW179" s="14" t="s">
        <v>69</v>
      </c>
      <c r="AX179" s="19"/>
      <c r="AY179" s="19"/>
      <c r="AZ179" s="12"/>
      <c r="BA179" s="1199"/>
      <c r="BB179" s="349"/>
      <c r="BC179" s="276"/>
      <c r="BD179" s="285"/>
      <c r="BE179" s="15"/>
    </row>
    <row r="180" spans="1:59" ht="13.5" customHeight="1" x14ac:dyDescent="0.25">
      <c r="A180" s="145"/>
      <c r="B180" s="12"/>
      <c r="C180" s="115"/>
      <c r="D180" s="12"/>
      <c r="E180" s="118">
        <f>BB174</f>
        <v>0</v>
      </c>
      <c r="F180" s="19">
        <f>IF($D$4=2024,1,0)</f>
        <v>0</v>
      </c>
      <c r="G180" s="178">
        <f>IF($B210="Yes",$C$5,$I209)</f>
        <v>12</v>
      </c>
      <c r="H180" s="36">
        <f>VLOOKUP(H208,'Lookup Tables'!$A$22:$B$33,2,FALSE)</f>
        <v>3</v>
      </c>
      <c r="I180" s="192">
        <f>VLOOKUP($E$4,'Lookup Tables'!$AB$46:$AN$58,MATCH($H180,'Lookup Tables'!$AB$46:$AN$46),FALSE)</f>
        <v>12</v>
      </c>
      <c r="J180" s="586">
        <f>VLOOKUP(H180,'Lookup Tables'!$A$3:$AA$16,MATCH(PersonCalcYr2!$G180,'Lookup Tables'!$A$3:$AA$3),FALSE)</f>
        <v>1.5161</v>
      </c>
      <c r="K180" s="54">
        <f>VLOOKUP($H208,'Lookup Tables'!$K$23:$L$34,2,FALSE)</f>
        <v>0</v>
      </c>
      <c r="L180" s="12">
        <f>IF(G180&lt;=K180,G180,K180)</f>
        <v>0</v>
      </c>
      <c r="M180" s="195">
        <f>IF(12-I180&gt;=1,1,0)</f>
        <v>0</v>
      </c>
      <c r="N180" s="15">
        <f>(('Rate Tables'!D73*PersonCalcYr2!E180)*PersonCalcYr2!L180)*PersonCalcYr2!F180*M180</f>
        <v>0</v>
      </c>
      <c r="O180" s="28">
        <f>G180-((J180+L180)*M180)</f>
        <v>12</v>
      </c>
      <c r="P180" s="8">
        <f>IF(O180&lt;0,O180*0,1)*O180</f>
        <v>12</v>
      </c>
      <c r="Q180" s="120">
        <f>VLOOKUP($H208,'Lookup Tables'!$A$22:$B$33,2,FALSE)+(L180*M180)+(J180*M180)</f>
        <v>3</v>
      </c>
      <c r="R180" s="121" t="str">
        <f>VLOOKUP(Q180,'Lookup Tables'!$A$38:$B$151,2,FALSE)</f>
        <v>Sept</v>
      </c>
      <c r="S180" s="36">
        <f>VLOOKUP(R180,'Lookup Tables'!$A$22:$B$33,2,FALSE)</f>
        <v>3</v>
      </c>
      <c r="T180" s="599">
        <f>VLOOKUP($E$4,'Lookup Tables'!$AB$63:$AN$75,MATCH(PersonCalcYr2!$S180,'Lookup Tables'!$AB$63:$AN$63),FALSE)</f>
        <v>0.5161</v>
      </c>
      <c r="U180" s="34">
        <f>VLOOKUP(S180,'Lookup Tables'!$A$3:$AA$16,MATCH(PersonCalcYr2!$P180,'Lookup Tables'!$A$3:$AA$3),FALSE)</f>
        <v>1.5161</v>
      </c>
      <c r="V180" s="12">
        <f>9-T180</f>
        <v>8.4839000000000002</v>
      </c>
      <c r="W180" s="122">
        <f>P180-U180</f>
        <v>10.4839</v>
      </c>
      <c r="X180" s="119">
        <f>IF(V180&lt;=W180,V180,W180)</f>
        <v>8.4839000000000002</v>
      </c>
      <c r="Y180" s="195">
        <f>IF(12-T180-U180-X180&gt;=0,1,0)</f>
        <v>1</v>
      </c>
      <c r="Z180" s="20">
        <f>((('Rate Tables'!E73*$E180)*PersonCalcYr2!$X180)*$F180)*Y180</f>
        <v>0</v>
      </c>
      <c r="AA180" s="197">
        <f>O180-(((U180*U182)+X180)*Y180)</f>
        <v>2</v>
      </c>
      <c r="AB180" s="8">
        <f>IF(AA180&lt;0,AA180*0,1)*AA180</f>
        <v>2</v>
      </c>
      <c r="AC180" s="601">
        <f>S180+(X180*Y180)+((U180*U182)*Y180)</f>
        <v>13</v>
      </c>
      <c r="AD180" s="121" t="str">
        <f>VLOOKUP(AC180,'Lookup Tables'!$A$38:$B$151,2,FALSE)</f>
        <v>July</v>
      </c>
      <c r="AE180" s="36">
        <f>VLOOKUP(AD180,'Lookup Tables'!$A$22:$B$33,2,FALSE)</f>
        <v>1</v>
      </c>
      <c r="AF180" s="34">
        <f>VLOOKUP(AE180,'Lookup Tables'!$A$3:$AA$16,MATCH(PersonCalcYr2!AB180,'Lookup Tables'!$A$3:$AA$3),FALSE)</f>
        <v>1.4839</v>
      </c>
      <c r="AG180" s="12">
        <v>9</v>
      </c>
      <c r="AH180" s="122">
        <f>AB180-AF180</f>
        <v>0.5161</v>
      </c>
      <c r="AI180" s="119">
        <f>IF(AG180&lt;=AH180,AG180,AH180)</f>
        <v>0.5161</v>
      </c>
      <c r="AJ180" s="119">
        <f>IF((AG180+AF180)&lt;=0,0,1)</f>
        <v>1</v>
      </c>
      <c r="AK180" s="124">
        <f>((('Rate Tables'!F73*$E180)*PersonCalcYr2!AI180)*$F180)*AJ180</f>
        <v>0</v>
      </c>
      <c r="AL180" s="28">
        <f>AB180-AF180-AI180</f>
        <v>0</v>
      </c>
      <c r="AM180" s="8">
        <f>IF(AL180&lt;0,AL180*0,1)*AL180</f>
        <v>0</v>
      </c>
      <c r="AN180" s="601">
        <f>AE180+(AI180*AJ180)+((AF180*AF182)*AJ180)</f>
        <v>3</v>
      </c>
      <c r="AO180" s="121" t="str">
        <f>VLOOKUP(AN180,'Lookup Tables'!$A$38:$B$151,2,FALSE)</f>
        <v>Sept</v>
      </c>
      <c r="AP180" s="36">
        <f>VLOOKUP(AO180,'Lookup Tables'!$A$22:$B$33,2,FALSE)</f>
        <v>3</v>
      </c>
      <c r="AQ180" s="34">
        <f>VLOOKUP(AP180,'Lookup Tables'!$A$3:$AA$16,MATCH(PersonCalcYr2!AM180,'Lookup Tables'!$A$3:$AA$3),FALSE)</f>
        <v>0</v>
      </c>
      <c r="AR180" s="12">
        <v>9</v>
      </c>
      <c r="AS180" s="122">
        <f>AM180-AQ180</f>
        <v>0</v>
      </c>
      <c r="AT180" s="119">
        <f>IF(AR180&lt;=AS180,AR180,AS180)</f>
        <v>0</v>
      </c>
      <c r="AU180" s="119">
        <f>IF((AR180+AQ180)&lt;=0,0,1)</f>
        <v>1</v>
      </c>
      <c r="AV180" s="124">
        <f>((('Rate Tables'!G73*$E180)*PersonCalcYr2!AT180)*$F180)*AU180</f>
        <v>0</v>
      </c>
      <c r="AW180" s="28">
        <f>AM180-AQ180-AT180</f>
        <v>0</v>
      </c>
      <c r="AX180" s="19"/>
      <c r="AY180" s="19"/>
      <c r="AZ180" s="12"/>
      <c r="BA180" s="1199"/>
      <c r="BB180" s="349" t="s">
        <v>643</v>
      </c>
      <c r="BC180" s="276"/>
      <c r="BD180" s="285"/>
      <c r="BE180" s="15"/>
    </row>
    <row r="181" spans="1:59" ht="13.5" customHeight="1" x14ac:dyDescent="0.25">
      <c r="A181" s="145"/>
      <c r="B181" s="12"/>
      <c r="C181" s="115"/>
      <c r="D181" s="12"/>
      <c r="E181" s="118"/>
      <c r="F181" s="19"/>
      <c r="G181" s="12"/>
      <c r="H181" s="12"/>
      <c r="I181" s="141"/>
      <c r="J181" s="228" t="s">
        <v>183</v>
      </c>
      <c r="K181" s="13" t="s">
        <v>181</v>
      </c>
      <c r="L181" s="13" t="s">
        <v>179</v>
      </c>
      <c r="M181" s="13" t="s">
        <v>180</v>
      </c>
      <c r="N181" s="660" t="s">
        <v>128</v>
      </c>
      <c r="O181" s="135" t="s">
        <v>130</v>
      </c>
      <c r="P181" s="8"/>
      <c r="Q181" s="123"/>
      <c r="R181" s="12"/>
      <c r="S181" s="12"/>
      <c r="T181" s="12"/>
      <c r="U181" s="12"/>
      <c r="V181" s="228" t="s">
        <v>183</v>
      </c>
      <c r="W181" s="13" t="s">
        <v>181</v>
      </c>
      <c r="X181" s="13" t="s">
        <v>179</v>
      </c>
      <c r="Y181" s="13" t="s">
        <v>180</v>
      </c>
      <c r="Z181" s="52" t="s">
        <v>128</v>
      </c>
      <c r="AA181" s="135" t="s">
        <v>130</v>
      </c>
      <c r="AB181" s="8"/>
      <c r="AC181" s="123"/>
      <c r="AD181" s="12"/>
      <c r="AE181" s="12"/>
      <c r="AF181" s="12"/>
      <c r="AG181" s="228" t="s">
        <v>183</v>
      </c>
      <c r="AH181" s="13" t="s">
        <v>181</v>
      </c>
      <c r="AI181" s="13" t="s">
        <v>179</v>
      </c>
      <c r="AJ181" s="13" t="s">
        <v>180</v>
      </c>
      <c r="AK181" s="52" t="s">
        <v>128</v>
      </c>
      <c r="AL181" s="135" t="s">
        <v>130</v>
      </c>
      <c r="AN181" s="13"/>
      <c r="AO181" s="13"/>
      <c r="AP181" s="13"/>
      <c r="AQ181" s="13"/>
      <c r="AR181" s="228" t="s">
        <v>183</v>
      </c>
      <c r="AS181" s="13" t="s">
        <v>181</v>
      </c>
      <c r="AT181" s="13" t="s">
        <v>179</v>
      </c>
      <c r="AU181" s="13" t="s">
        <v>180</v>
      </c>
      <c r="AV181" s="52" t="s">
        <v>128</v>
      </c>
      <c r="AW181" s="135" t="s">
        <v>130</v>
      </c>
      <c r="AX181" s="13"/>
      <c r="AY181" s="13" t="s">
        <v>159</v>
      </c>
      <c r="AZ181" s="12"/>
      <c r="BA181" s="1199"/>
      <c r="BB181" s="350" t="s">
        <v>644</v>
      </c>
      <c r="BC181" s="227" t="s">
        <v>582</v>
      </c>
      <c r="BD181" s="663">
        <f>IF(BD174&gt;0,1,0)</f>
        <v>0</v>
      </c>
      <c r="BE181" s="15"/>
    </row>
    <row r="182" spans="1:59" ht="13.5" customHeight="1" x14ac:dyDescent="0.25">
      <c r="A182" s="145"/>
      <c r="B182" s="227"/>
      <c r="C182" s="115"/>
      <c r="D182" s="12"/>
      <c r="E182" s="118"/>
      <c r="F182" s="19"/>
      <c r="G182" s="12"/>
      <c r="H182" s="12"/>
      <c r="I182" s="141"/>
      <c r="J182" s="141">
        <f>IF($BA189&gt;0,1,0)</f>
        <v>0</v>
      </c>
      <c r="K182" s="12">
        <f>IF($BA189=0,1,0)</f>
        <v>1</v>
      </c>
      <c r="L182" s="129">
        <f>'Rate Tables'!$P$17</f>
        <v>910</v>
      </c>
      <c r="M182" s="129">
        <f>'Rate Tables'!$Q$17</f>
        <v>933.34</v>
      </c>
      <c r="N182" s="661">
        <f>ROUNDUP(N185,0)</f>
        <v>0</v>
      </c>
      <c r="O182" s="136">
        <f>((J182*L182)+(K182*M182))*N182</f>
        <v>0</v>
      </c>
      <c r="P182" s="8"/>
      <c r="Q182" s="123"/>
      <c r="R182" s="12"/>
      <c r="S182" s="12"/>
      <c r="T182" s="605" t="s">
        <v>573</v>
      </c>
      <c r="U182" s="606">
        <f>VLOOKUP($E$4,'Lookup Tables'!$L$79:$X$91,MATCH(PersonCalcYr2!$S176,'Lookup Tables'!$L$79:$X$79),FALSE)</f>
        <v>1</v>
      </c>
      <c r="V182" s="141">
        <f>IF($BA189&gt;0,1,0)</f>
        <v>0</v>
      </c>
      <c r="W182" s="12">
        <f>IF($BA189=0,1,0)</f>
        <v>1</v>
      </c>
      <c r="X182" s="129">
        <f>'Rate Tables'!$P$18</f>
        <v>910</v>
      </c>
      <c r="Y182" s="129">
        <f>'Rate Tables'!$Q$18</f>
        <v>933.34</v>
      </c>
      <c r="Z182" s="657">
        <f>IF(Y185&lt;=AA185,Y185,AA185)</f>
        <v>0</v>
      </c>
      <c r="AA182" s="136">
        <f>((V182*X182)+(W182*Y182))*Z182</f>
        <v>0</v>
      </c>
      <c r="AB182" s="8"/>
      <c r="AC182" s="123"/>
      <c r="AD182" s="12"/>
      <c r="AE182" s="605" t="s">
        <v>573</v>
      </c>
      <c r="AF182" s="606">
        <v>1</v>
      </c>
      <c r="AG182" s="141">
        <f>IF($BA189&gt;0,1,0)</f>
        <v>0</v>
      </c>
      <c r="AH182" s="12">
        <f>IF($BA189=0,1,0)</f>
        <v>1</v>
      </c>
      <c r="AI182" s="129">
        <f>'Rate Tables'!$P$19</f>
        <v>910</v>
      </c>
      <c r="AJ182" s="129">
        <f>'Rate Tables'!$Q$19</f>
        <v>933.34</v>
      </c>
      <c r="AK182" s="657">
        <f>IF(AJ185&lt;=AL185,AJ185,AL185)</f>
        <v>0</v>
      </c>
      <c r="AL182" s="136">
        <f>((AG182*AI182)+(AH182*AJ182))*AK182</f>
        <v>0</v>
      </c>
      <c r="AN182" s="19"/>
      <c r="AO182" s="19"/>
      <c r="AP182" s="19"/>
      <c r="AQ182" s="19"/>
      <c r="AR182" s="141">
        <f>IF($BA189&gt;0,1,0)</f>
        <v>0</v>
      </c>
      <c r="AS182" s="12">
        <f>IF($BA189=0,1,0)</f>
        <v>1</v>
      </c>
      <c r="AT182" s="129">
        <f>'Rate Tables'!$P$20</f>
        <v>928.2</v>
      </c>
      <c r="AU182" s="129">
        <f>'Rate Tables'!$Q$20</f>
        <v>952</v>
      </c>
      <c r="AV182" s="657">
        <f>IF(AU185&lt;=AW185,AU185,AW185)</f>
        <v>0</v>
      </c>
      <c r="AW182" s="136">
        <f>((AR182*AT182)+(AS182*AU182))*AV182</f>
        <v>0</v>
      </c>
      <c r="AX182" s="19"/>
      <c r="AY182" s="19">
        <f>VLOOKUP(B172,'Lookup Tables'!$AK$22:$AM$24,2,0)</f>
        <v>0</v>
      </c>
      <c r="AZ182" s="12"/>
      <c r="BA182" s="307">
        <f>N185+N186+N187+Z185+Z186+Z187+AK185+AK186+AK187</f>
        <v>0</v>
      </c>
      <c r="BB182" s="358" t="str">
        <f>IF(BB174=50%,"no",Personnel!O70)</f>
        <v>No</v>
      </c>
      <c r="BC182" s="12"/>
      <c r="BD182" s="285"/>
      <c r="BE182" s="15"/>
    </row>
    <row r="183" spans="1:59" ht="13.5" customHeight="1" x14ac:dyDescent="0.25">
      <c r="A183" s="145"/>
      <c r="B183" s="12"/>
      <c r="C183" s="115"/>
      <c r="D183" s="12"/>
      <c r="E183" s="126"/>
      <c r="F183" s="19"/>
      <c r="G183" s="12"/>
      <c r="H183" s="12"/>
      <c r="I183" s="12"/>
      <c r="J183" s="141">
        <f>IF($BA189&gt;0,1,0)</f>
        <v>0</v>
      </c>
      <c r="K183" s="12">
        <f>IF($BA189=0,1,0)</f>
        <v>1</v>
      </c>
      <c r="L183" s="129">
        <f>'Rate Tables'!$P$18</f>
        <v>910</v>
      </c>
      <c r="M183" s="129">
        <f>'Rate Tables'!$Q$18</f>
        <v>933.34</v>
      </c>
      <c r="N183" s="661">
        <f>ROUNDUP(N186,0)</f>
        <v>0</v>
      </c>
      <c r="O183" s="136">
        <f>((J183*L183)+(K183*M183))*N183</f>
        <v>0</v>
      </c>
      <c r="P183" s="19"/>
      <c r="Q183" s="19"/>
      <c r="R183" s="19"/>
      <c r="S183" s="19"/>
      <c r="T183" s="19"/>
      <c r="U183" s="12"/>
      <c r="V183" s="141">
        <f>IF($BA189&gt;0,1,0)</f>
        <v>0</v>
      </c>
      <c r="W183" s="12">
        <f>IF($BA189=0,1,0)</f>
        <v>1</v>
      </c>
      <c r="X183" s="129">
        <f>'Rate Tables'!$P$19</f>
        <v>910</v>
      </c>
      <c r="Y183" s="129">
        <f>'Rate Tables'!$Q$19</f>
        <v>933.34</v>
      </c>
      <c r="Z183" s="657">
        <f>IF(Y185&lt;=AA186,Y185,AA186)</f>
        <v>0</v>
      </c>
      <c r="AA183" s="136">
        <f>((V183*X183)+(W183*Y183))*Z183</f>
        <v>0</v>
      </c>
      <c r="AB183" s="20"/>
      <c r="AC183" s="20"/>
      <c r="AD183" s="20"/>
      <c r="AE183" s="20"/>
      <c r="AF183" s="123"/>
      <c r="AG183" s="141">
        <f>IF($BA189&gt;0,1,0)</f>
        <v>0</v>
      </c>
      <c r="AH183" s="12">
        <f>IF($BA189=0,1,0)</f>
        <v>1</v>
      </c>
      <c r="AI183" s="129">
        <f>'Rate Tables'!$P$20</f>
        <v>928.2</v>
      </c>
      <c r="AJ183" s="129">
        <f>'Rate Tables'!$Q$20</f>
        <v>952</v>
      </c>
      <c r="AK183" s="657">
        <f>IF(AJ185&lt;=AL186,AJ185,AL186)</f>
        <v>0</v>
      </c>
      <c r="AL183" s="136">
        <f>((AG183*AI183)+(AH183*AJ183))*AK183</f>
        <v>0</v>
      </c>
      <c r="AN183" s="19"/>
      <c r="AO183" s="19"/>
      <c r="AP183" s="19"/>
      <c r="AQ183" s="19"/>
      <c r="AR183" s="141">
        <f>IF($BA189&gt;0,1,0)</f>
        <v>0</v>
      </c>
      <c r="AS183" s="12">
        <f>IF($BA189=0,1,0)</f>
        <v>1</v>
      </c>
      <c r="AT183" s="129">
        <f>'Rate Tables'!$P$21</f>
        <v>946.76</v>
      </c>
      <c r="AU183" s="129">
        <f>'Rate Tables'!$Q$21</f>
        <v>971.04</v>
      </c>
      <c r="AV183" s="657">
        <f>IF(AU185&lt;=AW186,AU185,AW186)</f>
        <v>0</v>
      </c>
      <c r="AW183" s="136">
        <f>((AR183*AT183)+(AS183*AU183))*AV183</f>
        <v>0</v>
      </c>
      <c r="AX183" s="19"/>
      <c r="AY183" s="19"/>
      <c r="AZ183" s="12"/>
      <c r="BA183" s="307">
        <f>ROUNDUP(BA182,0)</f>
        <v>0</v>
      </c>
      <c r="BB183" s="349">
        <f>IF(BB182="yes",0.5,1)</f>
        <v>1</v>
      </c>
      <c r="BC183" s="12"/>
      <c r="BD183" s="285"/>
      <c r="BE183" s="15"/>
    </row>
    <row r="184" spans="1:59" ht="13.5" customHeight="1" x14ac:dyDescent="0.25">
      <c r="A184" s="145"/>
      <c r="B184" s="12"/>
      <c r="C184" s="115"/>
      <c r="D184" s="12"/>
      <c r="E184" s="126"/>
      <c r="F184" s="19"/>
      <c r="G184" s="12"/>
      <c r="H184" s="12"/>
      <c r="I184" s="12"/>
      <c r="J184" s="141">
        <f>IF($BA189&gt;0,1,0)</f>
        <v>0</v>
      </c>
      <c r="K184" s="12">
        <f>IF($BA189=0,1,0)</f>
        <v>1</v>
      </c>
      <c r="L184" s="129">
        <f>'Rate Tables'!$P$19</f>
        <v>910</v>
      </c>
      <c r="M184" s="129">
        <f>'Rate Tables'!$Q$19</f>
        <v>933.34</v>
      </c>
      <c r="N184" s="661">
        <f>ROUNDUP(N187,0)</f>
        <v>0</v>
      </c>
      <c r="O184" s="136">
        <f>((J184*L184)+(K184*M184))*N184</f>
        <v>0</v>
      </c>
      <c r="P184" s="19"/>
      <c r="Q184" s="19"/>
      <c r="R184" s="19"/>
      <c r="S184" s="19"/>
      <c r="T184" s="19"/>
      <c r="U184" s="12"/>
      <c r="V184" s="141">
        <f>IF($BA189&gt;0,1,0)</f>
        <v>0</v>
      </c>
      <c r="W184" s="12">
        <f>IF($BA189=0,1,0)</f>
        <v>1</v>
      </c>
      <c r="X184" s="129">
        <f>'Rate Tables'!$P$20</f>
        <v>928.2</v>
      </c>
      <c r="Y184" s="129">
        <f>'Rate Tables'!$Q$20</f>
        <v>952</v>
      </c>
      <c r="Z184" s="657">
        <f>IF(Y185&lt;=AA187,Y185,AA187)</f>
        <v>0</v>
      </c>
      <c r="AA184" s="136">
        <f>((V184*X184)+(W184*Y184))*Z184</f>
        <v>0</v>
      </c>
      <c r="AB184" s="20"/>
      <c r="AC184" s="20"/>
      <c r="AD184" s="20"/>
      <c r="AE184" s="20"/>
      <c r="AF184" s="123"/>
      <c r="AG184" s="141">
        <f>IF($BA189&gt;0,1,0)</f>
        <v>0</v>
      </c>
      <c r="AH184" s="12">
        <f>IF($BA189=0,1,0)</f>
        <v>1</v>
      </c>
      <c r="AI184" s="129">
        <f>'Rate Tables'!$P$21</f>
        <v>946.76</v>
      </c>
      <c r="AJ184" s="129">
        <f>'Rate Tables'!$Q$21</f>
        <v>971.04</v>
      </c>
      <c r="AK184" s="657">
        <f>IF(AJ185&lt;=AL187,AJ185,AL187)</f>
        <v>0</v>
      </c>
      <c r="AL184" s="136">
        <f>((AG184*AI184)+(AH184*AJ184))*AK184</f>
        <v>0</v>
      </c>
      <c r="AN184" s="19"/>
      <c r="AO184" s="19"/>
      <c r="AP184" s="19"/>
      <c r="AQ184" s="19"/>
      <c r="AR184" s="141">
        <f>IF($BA189&gt;0,1,0)</f>
        <v>0</v>
      </c>
      <c r="AS184" s="12">
        <f>IF($BA189=0,1,0)</f>
        <v>1</v>
      </c>
      <c r="AT184" s="129">
        <f>'Rate Tables'!$P$22</f>
        <v>965.7</v>
      </c>
      <c r="AU184" s="129">
        <f>'Rate Tables'!$Q$22</f>
        <v>990.46</v>
      </c>
      <c r="AV184" s="657">
        <f>IF(AU185&lt;=AW187,AU185,AW187)</f>
        <v>0</v>
      </c>
      <c r="AW184" s="136">
        <f>((AR184*AT184)+(AS184*AU184))*AV184</f>
        <v>0</v>
      </c>
      <c r="AX184" s="19"/>
      <c r="AY184" s="19"/>
      <c r="AZ184" s="12"/>
      <c r="BA184" s="307"/>
      <c r="BB184" s="349"/>
      <c r="BC184" s="12"/>
      <c r="BD184" s="285"/>
      <c r="BE184" s="15"/>
    </row>
    <row r="185" spans="1:59" ht="13.5" customHeight="1" x14ac:dyDescent="0.25">
      <c r="A185" s="145"/>
      <c r="B185" s="12"/>
      <c r="C185" s="115"/>
      <c r="D185" s="12"/>
      <c r="E185" s="126"/>
      <c r="F185" s="19"/>
      <c r="G185" s="729" t="s">
        <v>585</v>
      </c>
      <c r="H185" s="12"/>
      <c r="I185" s="12"/>
      <c r="J185" s="141"/>
      <c r="K185" s="12"/>
      <c r="L185" s="129"/>
      <c r="M185" s="129"/>
      <c r="N185" s="661">
        <f>L176*M176*F176</f>
        <v>0</v>
      </c>
      <c r="O185" s="136"/>
      <c r="P185" s="19"/>
      <c r="Q185" s="19"/>
      <c r="R185" s="19"/>
      <c r="S185" s="19"/>
      <c r="T185" s="19"/>
      <c r="U185" s="12"/>
      <c r="V185" s="141"/>
      <c r="W185" s="12"/>
      <c r="X185" s="653" t="s">
        <v>581</v>
      </c>
      <c r="Y185" s="653">
        <f>BA183-N182-N183-N184</f>
        <v>0</v>
      </c>
      <c r="Z185" s="654">
        <f>X176*Y176*F176</f>
        <v>0</v>
      </c>
      <c r="AA185" s="655">
        <f>ROUNDUP(Z185,0)</f>
        <v>0</v>
      </c>
      <c r="AB185" s="20"/>
      <c r="AC185" s="20"/>
      <c r="AD185" s="20"/>
      <c r="AE185" s="20"/>
      <c r="AF185" s="123"/>
      <c r="AG185" s="141"/>
      <c r="AH185" s="12"/>
      <c r="AI185" s="653" t="s">
        <v>581</v>
      </c>
      <c r="AJ185" s="653">
        <f>Y185-Z182-Z183-Z184</f>
        <v>0</v>
      </c>
      <c r="AK185" s="654">
        <f>AI176*AJ176*F176</f>
        <v>0</v>
      </c>
      <c r="AL185" s="655">
        <f>ROUNDUP(AK185,0)</f>
        <v>0</v>
      </c>
      <c r="AN185" s="19"/>
      <c r="AO185" s="19"/>
      <c r="AP185" s="19"/>
      <c r="AQ185" s="19"/>
      <c r="AR185" s="141"/>
      <c r="AS185" s="12"/>
      <c r="AT185" s="653" t="s">
        <v>581</v>
      </c>
      <c r="AU185" s="653">
        <f>AJ185-AK182-AK183*AK184</f>
        <v>0</v>
      </c>
      <c r="AV185" s="654">
        <f>AT176*AU176*F176</f>
        <v>0</v>
      </c>
      <c r="AW185" s="655">
        <f>ROUNDUP(AV185,0)</f>
        <v>0</v>
      </c>
      <c r="AX185" s="19"/>
      <c r="AY185" s="19"/>
      <c r="AZ185" s="12"/>
      <c r="BA185" s="307"/>
      <c r="BB185" s="349"/>
      <c r="BC185" s="12"/>
      <c r="BD185" s="285"/>
      <c r="BE185" s="15"/>
    </row>
    <row r="186" spans="1:59" ht="13.5" customHeight="1" x14ac:dyDescent="0.25">
      <c r="A186" s="145"/>
      <c r="B186" s="12"/>
      <c r="C186" s="115"/>
      <c r="D186" s="12"/>
      <c r="E186" s="126"/>
      <c r="F186" s="19"/>
      <c r="G186" s="729"/>
      <c r="H186" s="12"/>
      <c r="I186" s="12"/>
      <c r="J186" s="141"/>
      <c r="K186" s="12"/>
      <c r="L186" s="129"/>
      <c r="M186" s="129"/>
      <c r="N186" s="661">
        <f>L178*M178*F178</f>
        <v>0</v>
      </c>
      <c r="O186" s="136"/>
      <c r="P186" s="19"/>
      <c r="Q186" s="19"/>
      <c r="R186" s="19"/>
      <c r="S186" s="19"/>
      <c r="T186" s="19"/>
      <c r="U186" s="12"/>
      <c r="V186" s="141"/>
      <c r="W186" s="12"/>
      <c r="X186" s="129"/>
      <c r="Y186" s="129"/>
      <c r="Z186" s="731">
        <f>X178*Y178*F178</f>
        <v>0</v>
      </c>
      <c r="AA186" s="732">
        <f>ROUNDUP(Z186,0)</f>
        <v>0</v>
      </c>
      <c r="AB186" s="20"/>
      <c r="AC186" s="20"/>
      <c r="AD186" s="20"/>
      <c r="AE186" s="20"/>
      <c r="AF186" s="123"/>
      <c r="AG186" s="141"/>
      <c r="AH186" s="12"/>
      <c r="AI186" s="129"/>
      <c r="AJ186" s="653"/>
      <c r="AK186" s="731">
        <f>AI178*AJ178*F178</f>
        <v>0</v>
      </c>
      <c r="AL186" s="732">
        <f>ROUNDUP(AK186,0)</f>
        <v>0</v>
      </c>
      <c r="AN186" s="19"/>
      <c r="AO186" s="19"/>
      <c r="AP186" s="19"/>
      <c r="AQ186" s="19"/>
      <c r="AR186" s="141"/>
      <c r="AS186" s="12"/>
      <c r="AT186" s="129"/>
      <c r="AU186" s="129"/>
      <c r="AV186" s="731">
        <f>AT178*AU178*F178</f>
        <v>0</v>
      </c>
      <c r="AW186" s="732">
        <f>ROUNDUP(AV186,0)</f>
        <v>0</v>
      </c>
      <c r="AX186" s="19"/>
      <c r="AY186" s="19"/>
      <c r="AZ186" s="12"/>
      <c r="BA186" s="307"/>
      <c r="BB186" s="349"/>
      <c r="BC186" s="12"/>
      <c r="BD186" s="285"/>
      <c r="BE186" s="15"/>
    </row>
    <row r="187" spans="1:59" ht="13.5" customHeight="1" x14ac:dyDescent="0.25">
      <c r="A187" s="145"/>
      <c r="B187" s="12"/>
      <c r="C187" s="259" t="s">
        <v>606</v>
      </c>
      <c r="D187" s="12"/>
      <c r="E187" s="126"/>
      <c r="F187" s="19"/>
      <c r="G187" s="12"/>
      <c r="H187" s="12"/>
      <c r="I187" s="12"/>
      <c r="J187" s="12"/>
      <c r="K187" s="12"/>
      <c r="L187" s="12"/>
      <c r="M187" s="12"/>
      <c r="N187" s="734">
        <f>L180*M180*F180</f>
        <v>0</v>
      </c>
      <c r="O187" s="18"/>
      <c r="P187" s="19"/>
      <c r="Q187" s="19"/>
      <c r="R187" s="19"/>
      <c r="S187" s="19"/>
      <c r="T187" s="19"/>
      <c r="U187" s="12"/>
      <c r="V187" s="122"/>
      <c r="W187" s="122"/>
      <c r="X187" s="122"/>
      <c r="Y187" s="119"/>
      <c r="Z187" s="733">
        <f>X180*Y180*F180</f>
        <v>0</v>
      </c>
      <c r="AA187" s="659">
        <f t="shared" ref="AA187" si="0">ROUNDUP(Z187,0)</f>
        <v>0</v>
      </c>
      <c r="AB187" s="20"/>
      <c r="AC187" s="20"/>
      <c r="AD187" s="20"/>
      <c r="AE187" s="20"/>
      <c r="AF187" s="123"/>
      <c r="AG187" s="122"/>
      <c r="AH187" s="122"/>
      <c r="AI187" s="122"/>
      <c r="AJ187" s="656"/>
      <c r="AK187" s="733">
        <f>AI180*AJ180*F180</f>
        <v>0</v>
      </c>
      <c r="AL187" s="659">
        <f>ROUNDUP(AK187,0)</f>
        <v>0</v>
      </c>
      <c r="AN187" s="19"/>
      <c r="AO187" s="19"/>
      <c r="AP187" s="19"/>
      <c r="AQ187" s="19"/>
      <c r="AR187" s="122"/>
      <c r="AS187" s="122"/>
      <c r="AT187" s="122"/>
      <c r="AU187" s="122"/>
      <c r="AV187" s="733">
        <f>AT180*AU180*F180</f>
        <v>0</v>
      </c>
      <c r="AW187" s="659">
        <f>ROUNDUP(AV187,0)</f>
        <v>0</v>
      </c>
      <c r="AX187" s="19"/>
      <c r="AY187" s="19"/>
      <c r="AZ187" s="12"/>
      <c r="BA187" s="370" t="s">
        <v>411</v>
      </c>
      <c r="BB187" s="352" t="str">
        <f>Personnel!O68</f>
        <v>None</v>
      </c>
      <c r="BC187" s="276" t="s">
        <v>117</v>
      </c>
      <c r="BD187" s="285">
        <f>(N189+N191+N193+W189+W191+W193+AJ189+AJ191+AJ193+AU189+AU191+AU193)*AY189</f>
        <v>0</v>
      </c>
      <c r="BE187" s="15"/>
      <c r="BG187" s="313"/>
    </row>
    <row r="188" spans="1:59" ht="13.5" customHeight="1" x14ac:dyDescent="0.25">
      <c r="A188" s="145"/>
      <c r="B188" s="12"/>
      <c r="C188" s="117" t="s">
        <v>30</v>
      </c>
      <c r="D188" s="12"/>
      <c r="E188" s="13" t="s">
        <v>84</v>
      </c>
      <c r="F188" s="13" t="s">
        <v>42</v>
      </c>
      <c r="G188" s="13" t="s">
        <v>41</v>
      </c>
      <c r="H188" s="65" t="s">
        <v>77</v>
      </c>
      <c r="I188" s="137" t="s">
        <v>101</v>
      </c>
      <c r="J188" s="139" t="s">
        <v>102</v>
      </c>
      <c r="K188" s="127" t="s">
        <v>98</v>
      </c>
      <c r="L188" s="13" t="s">
        <v>100</v>
      </c>
      <c r="M188" s="13" t="s">
        <v>82</v>
      </c>
      <c r="N188" s="13" t="s">
        <v>31</v>
      </c>
      <c r="O188" s="14" t="s">
        <v>69</v>
      </c>
      <c r="P188" s="13" t="s">
        <v>72</v>
      </c>
      <c r="Q188" s="13" t="s">
        <v>103</v>
      </c>
      <c r="R188" s="65" t="s">
        <v>77</v>
      </c>
      <c r="S188" s="137" t="s">
        <v>101</v>
      </c>
      <c r="T188" s="139" t="s">
        <v>102</v>
      </c>
      <c r="U188" s="12" t="s">
        <v>98</v>
      </c>
      <c r="V188" s="13" t="s">
        <v>100</v>
      </c>
      <c r="W188" s="13" t="s">
        <v>32</v>
      </c>
      <c r="X188" s="13" t="s">
        <v>69</v>
      </c>
      <c r="Y188" s="13"/>
      <c r="Z188" s="146"/>
      <c r="AA188" s="18"/>
      <c r="AB188" s="13" t="s">
        <v>72</v>
      </c>
      <c r="AC188" s="13" t="s">
        <v>103</v>
      </c>
      <c r="AD188" s="13"/>
      <c r="AE188" s="65" t="s">
        <v>77</v>
      </c>
      <c r="AF188" s="137" t="s">
        <v>101</v>
      </c>
      <c r="AG188" s="139" t="s">
        <v>102</v>
      </c>
      <c r="AH188" s="12" t="s">
        <v>98</v>
      </c>
      <c r="AI188" s="13" t="s">
        <v>100</v>
      </c>
      <c r="AJ188" s="13" t="s">
        <v>33</v>
      </c>
      <c r="AK188" s="13" t="s">
        <v>69</v>
      </c>
      <c r="AL188" s="18"/>
      <c r="AM188" s="13" t="s">
        <v>72</v>
      </c>
      <c r="AN188" s="13" t="s">
        <v>103</v>
      </c>
      <c r="AO188" s="13"/>
      <c r="AP188" s="65" t="s">
        <v>77</v>
      </c>
      <c r="AQ188" s="137" t="s">
        <v>101</v>
      </c>
      <c r="AR188" s="139" t="s">
        <v>102</v>
      </c>
      <c r="AS188" s="12" t="s">
        <v>98</v>
      </c>
      <c r="AT188" s="13" t="s">
        <v>100</v>
      </c>
      <c r="AU188" s="13" t="s">
        <v>33</v>
      </c>
      <c r="AV188" s="13" t="s">
        <v>69</v>
      </c>
      <c r="AW188" s="18"/>
      <c r="AX188" s="13"/>
      <c r="AY188" s="13" t="s">
        <v>159</v>
      </c>
      <c r="AZ188" s="12"/>
      <c r="BA188" s="276" t="s">
        <v>95</v>
      </c>
      <c r="BB188" s="349"/>
      <c r="BC188" s="276" t="s">
        <v>186</v>
      </c>
      <c r="BD188" s="285">
        <f>BD187*'Rate Tables'!P$8</f>
        <v>0</v>
      </c>
      <c r="BE188" s="15"/>
    </row>
    <row r="189" spans="1:59" ht="13.5" customHeight="1" x14ac:dyDescent="0.25">
      <c r="A189" s="145"/>
      <c r="B189" s="12"/>
      <c r="C189" s="115"/>
      <c r="D189" s="12"/>
      <c r="E189" s="211">
        <f>IF(H210&lt;=H211,H210,H211)</f>
        <v>0</v>
      </c>
      <c r="F189" s="19">
        <f>IF($D$4=2022,1,0)</f>
        <v>0</v>
      </c>
      <c r="G189" s="178">
        <f>IF($B210="Yes",$C$5,$I209)</f>
        <v>12</v>
      </c>
      <c r="H189" s="36">
        <f>H176</f>
        <v>3</v>
      </c>
      <c r="I189" s="138">
        <f>VLOOKUP(J176,'Lookup Tables'!$AB$22:$AC$31,2,FALSE)</f>
        <v>32</v>
      </c>
      <c r="J189" s="140">
        <f>VLOOKUP(U176,'Lookup Tables'!$AB$32:$AC$41,2,FALSE)</f>
        <v>33</v>
      </c>
      <c r="K189" s="123">
        <f>E189-J189</f>
        <v>-33</v>
      </c>
      <c r="L189" s="12">
        <f>IF(K189&gt;0,1,0)</f>
        <v>0</v>
      </c>
      <c r="M189" s="119">
        <f>M176</f>
        <v>0</v>
      </c>
      <c r="N189" s="15">
        <f>((((('Rate Tables'!B73*9)*0.02778)/5)*K189)*L189)*F189*M189*BA191</f>
        <v>0</v>
      </c>
      <c r="O189" s="28">
        <f>O176</f>
        <v>12</v>
      </c>
      <c r="P189" s="8">
        <f>IF(O189&lt;0,O189*0,1)*O189</f>
        <v>12</v>
      </c>
      <c r="Q189" s="123">
        <f>(E189-K189*F189*L189*M189)</f>
        <v>0</v>
      </c>
      <c r="R189" s="36">
        <f>S176</f>
        <v>3</v>
      </c>
      <c r="S189" s="138">
        <f>VLOOKUP(U176,'Lookup Tables'!$AB$22:$AC$31,2,FALSE)</f>
        <v>32</v>
      </c>
      <c r="T189" s="140">
        <f>VLOOKUP(AF176,'Lookup Tables'!$AB$32:$AC$41,2,FALSE)</f>
        <v>33</v>
      </c>
      <c r="U189" s="129">
        <f>Q189-T189</f>
        <v>-33</v>
      </c>
      <c r="V189" s="12">
        <f>IF(U189&gt;0,1,0)</f>
        <v>0</v>
      </c>
      <c r="W189" s="15">
        <f>((('Rate Tables'!C73*9)*0.02778)/5)*U189*F189*V189*BA191</f>
        <v>0</v>
      </c>
      <c r="X189" s="8">
        <f>AA176</f>
        <v>2</v>
      </c>
      <c r="Y189" s="12"/>
      <c r="Z189" s="119"/>
      <c r="AA189" s="18"/>
      <c r="AB189" s="8">
        <f>IF(X189&lt;0,X189*0,1)*X189</f>
        <v>2</v>
      </c>
      <c r="AC189" s="123">
        <f>Q189-(U189*V189)</f>
        <v>0</v>
      </c>
      <c r="AD189" s="12"/>
      <c r="AE189" s="36">
        <f>AE176</f>
        <v>1</v>
      </c>
      <c r="AF189" s="138">
        <f>VLOOKUP(AF176,'Lookup Tables'!$AB$22:$AC$31,2,FALSE)</f>
        <v>32</v>
      </c>
      <c r="AG189" s="140">
        <f>VLOOKUP(AQ176,'Lookup Tables'!$AB$32:$AC$41,2,FALSE)</f>
        <v>0</v>
      </c>
      <c r="AH189" s="125">
        <f>AC189-AG189</f>
        <v>0</v>
      </c>
      <c r="AI189" s="12">
        <f>IF(AH189&gt;0,1,0)</f>
        <v>0</v>
      </c>
      <c r="AJ189" s="15">
        <f>((('Rate Tables'!D73*9)*0.02778)/5)*AH189*AI189*F189*BA191</f>
        <v>0</v>
      </c>
      <c r="AK189" s="8">
        <f>AL176</f>
        <v>0</v>
      </c>
      <c r="AL189" s="18"/>
      <c r="AM189" s="8">
        <f>IF(AK189&lt;0,AK189*0,1)*AK189</f>
        <v>0</v>
      </c>
      <c r="AN189" s="123">
        <f>AC189-(AH189*AI189)</f>
        <v>0</v>
      </c>
      <c r="AO189" s="123"/>
      <c r="AP189" s="36">
        <f>AP176</f>
        <v>3</v>
      </c>
      <c r="AQ189" s="138">
        <f>VLOOKUP(AQ176,'Lookup Tables'!$AB$22:$AC$31,2,FALSE)</f>
        <v>0</v>
      </c>
      <c r="AR189" s="140">
        <v>0</v>
      </c>
      <c r="AS189" s="125">
        <f>AN189-AR189</f>
        <v>0</v>
      </c>
      <c r="AT189" s="12">
        <f>IF(AS189&gt;0,1,0)</f>
        <v>0</v>
      </c>
      <c r="AU189" s="15">
        <f>((('Rate Tables'!E73*9)*0.02778)/5)*AS189*AT189*F189*BA191</f>
        <v>0</v>
      </c>
      <c r="AV189" s="8">
        <f>AW176</f>
        <v>0</v>
      </c>
      <c r="AW189" s="18"/>
      <c r="AX189" s="19"/>
      <c r="AY189" s="19">
        <f>VLOOKUP(B172,'Lookup Tables'!$AK$22:$AM$24,2,0)</f>
        <v>0</v>
      </c>
      <c r="AZ189" s="12"/>
      <c r="BA189" s="308">
        <f>VLOOKUP(BB187,'Lookup Tables'!$AF$22:$AG$24,2,FALSE)</f>
        <v>0</v>
      </c>
      <c r="BB189" s="350"/>
      <c r="BC189" s="12"/>
      <c r="BD189" s="285"/>
      <c r="BE189" s="15"/>
    </row>
    <row r="190" spans="1:59" ht="13.5" customHeight="1" x14ac:dyDescent="0.25">
      <c r="A190" s="145"/>
      <c r="B190" s="12"/>
      <c r="C190" s="117" t="s">
        <v>597</v>
      </c>
      <c r="D190" s="12"/>
      <c r="E190" s="13" t="s">
        <v>84</v>
      </c>
      <c r="F190" s="13" t="s">
        <v>42</v>
      </c>
      <c r="G190" s="13" t="s">
        <v>41</v>
      </c>
      <c r="H190" s="65" t="s">
        <v>77</v>
      </c>
      <c r="I190" s="137" t="s">
        <v>105</v>
      </c>
      <c r="J190" s="139" t="s">
        <v>106</v>
      </c>
      <c r="K190" s="127" t="s">
        <v>99</v>
      </c>
      <c r="L190" s="13" t="s">
        <v>100</v>
      </c>
      <c r="M190" s="13" t="s">
        <v>82</v>
      </c>
      <c r="N190" s="13" t="s">
        <v>32</v>
      </c>
      <c r="O190" s="14" t="s">
        <v>69</v>
      </c>
      <c r="P190" s="13" t="s">
        <v>72</v>
      </c>
      <c r="Q190" s="13" t="s">
        <v>103</v>
      </c>
      <c r="R190" s="65" t="s">
        <v>77</v>
      </c>
      <c r="S190" s="137" t="s">
        <v>105</v>
      </c>
      <c r="T190" s="139" t="s">
        <v>106</v>
      </c>
      <c r="U190" s="12" t="s">
        <v>98</v>
      </c>
      <c r="V190" s="13" t="s">
        <v>100</v>
      </c>
      <c r="W190" s="13" t="s">
        <v>33</v>
      </c>
      <c r="X190" s="13" t="s">
        <v>69</v>
      </c>
      <c r="Y190" s="13"/>
      <c r="Z190" s="13"/>
      <c r="AA190" s="18"/>
      <c r="AB190" s="13" t="s">
        <v>72</v>
      </c>
      <c r="AC190" s="13" t="s">
        <v>104</v>
      </c>
      <c r="AD190" s="13"/>
      <c r="AE190" s="65" t="s">
        <v>77</v>
      </c>
      <c r="AF190" s="137" t="s">
        <v>105</v>
      </c>
      <c r="AG190" s="139" t="s">
        <v>106</v>
      </c>
      <c r="AH190" s="12" t="s">
        <v>98</v>
      </c>
      <c r="AI190" s="13" t="s">
        <v>100</v>
      </c>
      <c r="AJ190" s="13" t="s">
        <v>34</v>
      </c>
      <c r="AK190" s="13" t="s">
        <v>69</v>
      </c>
      <c r="AL190" s="18"/>
      <c r="AM190" s="13" t="s">
        <v>72</v>
      </c>
      <c r="AN190" s="13" t="s">
        <v>104</v>
      </c>
      <c r="AO190" s="13"/>
      <c r="AP190" s="65" t="s">
        <v>77</v>
      </c>
      <c r="AQ190" s="137" t="s">
        <v>105</v>
      </c>
      <c r="AR190" s="139" t="s">
        <v>106</v>
      </c>
      <c r="AS190" s="12" t="s">
        <v>98</v>
      </c>
      <c r="AT190" s="13" t="s">
        <v>100</v>
      </c>
      <c r="AU190" s="13" t="s">
        <v>34</v>
      </c>
      <c r="AV190" s="13" t="s">
        <v>69</v>
      </c>
      <c r="AW190" s="18"/>
      <c r="AX190" s="13"/>
      <c r="AY190" s="13"/>
      <c r="AZ190" s="12"/>
      <c r="BA190" s="227" t="s">
        <v>126</v>
      </c>
      <c r="BB190" s="349" t="s">
        <v>643</v>
      </c>
      <c r="BC190" s="276" t="s">
        <v>187</v>
      </c>
      <c r="BD190" s="285">
        <f>(((O195+O196+O197+AA195+AA196+AA197+AL195+AL196+AL197+AW195+AW196+AW197)*AY195)*BD191)*BB193</f>
        <v>0</v>
      </c>
      <c r="BE190" s="15"/>
    </row>
    <row r="191" spans="1:59" ht="13.5" customHeight="1" x14ac:dyDescent="0.25">
      <c r="A191" s="145"/>
      <c r="B191" s="12"/>
      <c r="C191" s="115"/>
      <c r="D191" s="12"/>
      <c r="E191" s="128">
        <f>E189</f>
        <v>0</v>
      </c>
      <c r="F191" s="19">
        <f>IF($D$4=2023,1,0)</f>
        <v>1</v>
      </c>
      <c r="G191" s="178">
        <f>IF($B210="Yes",$C$5,$I209)</f>
        <v>12</v>
      </c>
      <c r="H191" s="36">
        <f>H178</f>
        <v>3</v>
      </c>
      <c r="I191" s="138">
        <f>VLOOKUP(J178,'Lookup Tables'!$AB$22:$AC$31,2,FALSE)</f>
        <v>32</v>
      </c>
      <c r="J191" s="140">
        <f>VLOOKUP(U178,'Lookup Tables'!$AB$32:$AC$41,2,FALSE)</f>
        <v>33</v>
      </c>
      <c r="K191" s="123">
        <f>E191-J191</f>
        <v>-33</v>
      </c>
      <c r="L191" s="12">
        <f>IF(K191&gt;0,1,0)</f>
        <v>0</v>
      </c>
      <c r="M191" s="119">
        <f>M178</f>
        <v>0</v>
      </c>
      <c r="N191" s="15">
        <f>((((('Rate Tables'!C73*9)*0.02778)/5)*K191)*L191)*F191*M191*BA191</f>
        <v>0</v>
      </c>
      <c r="O191" s="28">
        <f>O178</f>
        <v>12</v>
      </c>
      <c r="P191" s="8">
        <f>IF(O191&lt;0,O191*0,1)*O191</f>
        <v>12</v>
      </c>
      <c r="Q191" s="123">
        <f>(E191-K191*F191*L191*M191)</f>
        <v>0</v>
      </c>
      <c r="R191" s="36">
        <f>S178</f>
        <v>3</v>
      </c>
      <c r="S191" s="138">
        <f>VLOOKUP(U178,'Lookup Tables'!$AB$22:$AC$31,2,FALSE)</f>
        <v>32</v>
      </c>
      <c r="T191" s="140">
        <f>VLOOKUP(AF178,'Lookup Tables'!$AB$32:$AC$41,2,FALSE)</f>
        <v>33</v>
      </c>
      <c r="U191" s="129">
        <f>Q191-T191</f>
        <v>-33</v>
      </c>
      <c r="V191" s="12">
        <f>IF(U191&gt;0,1,0)</f>
        <v>0</v>
      </c>
      <c r="W191" s="15">
        <f>((('Rate Tables'!D73*9)*0.02778)/5)*U191*F191*V191*BA191</f>
        <v>0</v>
      </c>
      <c r="X191" s="8">
        <f>AA178</f>
        <v>2</v>
      </c>
      <c r="Y191" s="12"/>
      <c r="Z191" s="119"/>
      <c r="AA191" s="18"/>
      <c r="AB191" s="8">
        <f>IF(X191&lt;0,X191*0,1)*X191</f>
        <v>2</v>
      </c>
      <c r="AC191" s="123">
        <f>Q191-(U191*V191)</f>
        <v>0</v>
      </c>
      <c r="AD191" s="12"/>
      <c r="AE191" s="36">
        <f>AE178</f>
        <v>1</v>
      </c>
      <c r="AF191" s="138">
        <f>VLOOKUP(AF178,'Lookup Tables'!$AB$22:$AC$31,2,FALSE)</f>
        <v>32</v>
      </c>
      <c r="AG191" s="140">
        <f>VLOOKUP(AQ178,'Lookup Tables'!$AB$32:$AC$41,2,FALSE)</f>
        <v>0</v>
      </c>
      <c r="AH191" s="125">
        <f>AC191-AG191</f>
        <v>0</v>
      </c>
      <c r="AI191" s="12">
        <f>IF(AH191&gt;0,1,0)</f>
        <v>0</v>
      </c>
      <c r="AJ191" s="15">
        <f>((('Rate Tables'!E73*9)*0.02778)/5)*AH191*AI191*F191*BA191</f>
        <v>0</v>
      </c>
      <c r="AK191" s="8">
        <f>AL178</f>
        <v>0</v>
      </c>
      <c r="AL191" s="18"/>
      <c r="AM191" s="8">
        <f>IF(AK191&lt;0,AK191*0,1)*AK191</f>
        <v>0</v>
      </c>
      <c r="AN191" s="123">
        <f>AC191-(AH191*AI191)</f>
        <v>0</v>
      </c>
      <c r="AO191" s="12"/>
      <c r="AP191" s="36">
        <f>AP178</f>
        <v>3</v>
      </c>
      <c r="AQ191" s="138">
        <f>VLOOKUP(AQ178,'Lookup Tables'!$AB$22:$AC$31,2,FALSE)</f>
        <v>0</v>
      </c>
      <c r="AR191" s="140">
        <v>0</v>
      </c>
      <c r="AS191" s="125">
        <f>AN191-AR191</f>
        <v>0</v>
      </c>
      <c r="AT191" s="12">
        <f>IF(AS191&gt;0,1,0)</f>
        <v>0</v>
      </c>
      <c r="AU191" s="15">
        <f>((('Rate Tables'!F73*9)*0.02778)/5)*AS191*AT191*F191*BA191</f>
        <v>0</v>
      </c>
      <c r="AV191" s="8">
        <f>AW178</f>
        <v>0</v>
      </c>
      <c r="AW191" s="18"/>
      <c r="AX191" s="19"/>
      <c r="AY191" s="19"/>
      <c r="AZ191" s="12"/>
      <c r="BA191" s="319">
        <f>VLOOKUP(BB187,'Lookup Tables'!$AF$26:$AG$28,2,0)</f>
        <v>0</v>
      </c>
      <c r="BB191" s="350" t="s">
        <v>644</v>
      </c>
      <c r="BC191" s="227" t="s">
        <v>582</v>
      </c>
      <c r="BD191" s="663">
        <f>IF(BD187&gt;0,1,0)</f>
        <v>0</v>
      </c>
      <c r="BE191" s="15"/>
    </row>
    <row r="192" spans="1:59" ht="13.5" customHeight="1" x14ac:dyDescent="0.25">
      <c r="A192" s="145"/>
      <c r="B192" s="12"/>
      <c r="C192" s="117" t="s">
        <v>664</v>
      </c>
      <c r="D192" s="12"/>
      <c r="E192" s="13" t="s">
        <v>84</v>
      </c>
      <c r="F192" s="13" t="s">
        <v>42</v>
      </c>
      <c r="G192" s="13" t="s">
        <v>41</v>
      </c>
      <c r="H192" s="65" t="s">
        <v>77</v>
      </c>
      <c r="I192" s="137" t="s">
        <v>105</v>
      </c>
      <c r="J192" s="139" t="s">
        <v>106</v>
      </c>
      <c r="K192" s="127" t="s">
        <v>99</v>
      </c>
      <c r="L192" s="13" t="s">
        <v>100</v>
      </c>
      <c r="M192" s="13" t="s">
        <v>82</v>
      </c>
      <c r="N192" s="13" t="s">
        <v>32</v>
      </c>
      <c r="O192" s="14" t="s">
        <v>69</v>
      </c>
      <c r="P192" s="13" t="s">
        <v>72</v>
      </c>
      <c r="Q192" s="13" t="s">
        <v>103</v>
      </c>
      <c r="R192" s="65" t="s">
        <v>77</v>
      </c>
      <c r="S192" s="137" t="s">
        <v>105</v>
      </c>
      <c r="T192" s="139" t="s">
        <v>106</v>
      </c>
      <c r="U192" s="12" t="s">
        <v>98</v>
      </c>
      <c r="V192" s="13" t="s">
        <v>100</v>
      </c>
      <c r="W192" s="13" t="s">
        <v>33</v>
      </c>
      <c r="X192" s="13" t="s">
        <v>69</v>
      </c>
      <c r="Y192" s="13"/>
      <c r="Z192" s="13"/>
      <c r="AA192" s="18"/>
      <c r="AB192" s="13" t="s">
        <v>72</v>
      </c>
      <c r="AC192" s="13" t="s">
        <v>104</v>
      </c>
      <c r="AD192" s="13"/>
      <c r="AE192" s="65" t="s">
        <v>77</v>
      </c>
      <c r="AF192" s="137" t="s">
        <v>105</v>
      </c>
      <c r="AG192" s="139" t="s">
        <v>106</v>
      </c>
      <c r="AH192" s="12" t="s">
        <v>98</v>
      </c>
      <c r="AI192" s="13" t="s">
        <v>100</v>
      </c>
      <c r="AJ192" s="13" t="s">
        <v>34</v>
      </c>
      <c r="AK192" s="13" t="s">
        <v>69</v>
      </c>
      <c r="AL192" s="18"/>
      <c r="AM192" s="13" t="s">
        <v>72</v>
      </c>
      <c r="AN192" s="13" t="s">
        <v>104</v>
      </c>
      <c r="AO192" s="13"/>
      <c r="AP192" s="65" t="s">
        <v>77</v>
      </c>
      <c r="AQ192" s="137" t="s">
        <v>105</v>
      </c>
      <c r="AR192" s="139" t="s">
        <v>106</v>
      </c>
      <c r="AS192" s="12" t="s">
        <v>98</v>
      </c>
      <c r="AT192" s="13" t="s">
        <v>100</v>
      </c>
      <c r="AU192" s="13" t="s">
        <v>34</v>
      </c>
      <c r="AV192" s="13" t="s">
        <v>69</v>
      </c>
      <c r="AW192" s="18"/>
      <c r="AX192" s="19"/>
      <c r="AY192" s="19"/>
      <c r="AZ192" s="12"/>
      <c r="BA192" s="227"/>
      <c r="BB192" s="358" t="str">
        <f>IF(BB187="50% sum","no",Personnel!O70)</f>
        <v>No</v>
      </c>
      <c r="BC192" s="12"/>
      <c r="BD192" s="285"/>
      <c r="BE192" s="15"/>
    </row>
    <row r="193" spans="1:59" ht="13.5" customHeight="1" x14ac:dyDescent="0.25">
      <c r="A193" s="145"/>
      <c r="B193" s="12"/>
      <c r="C193" s="115"/>
      <c r="D193" s="12"/>
      <c r="E193" s="128">
        <f>E191</f>
        <v>0</v>
      </c>
      <c r="F193" s="19">
        <f>IF($D$4=2024,1,0)</f>
        <v>0</v>
      </c>
      <c r="G193" s="178">
        <f>IF($B210="Yes",$C$5,$I209)</f>
        <v>12</v>
      </c>
      <c r="H193" s="36">
        <f>H180</f>
        <v>3</v>
      </c>
      <c r="I193" s="138">
        <f>VLOOKUP(J180,'Lookup Tables'!$AB$22:$AC$31,2,FALSE)</f>
        <v>32</v>
      </c>
      <c r="J193" s="140">
        <f>VLOOKUP(U180,'Lookup Tables'!$AB$32:$AC$41,2,FALSE)</f>
        <v>33</v>
      </c>
      <c r="K193" s="123">
        <f>E193-J193</f>
        <v>-33</v>
      </c>
      <c r="L193" s="12">
        <f>IF(K193&gt;0,1,0)</f>
        <v>0</v>
      </c>
      <c r="M193" s="119">
        <f>M180</f>
        <v>0</v>
      </c>
      <c r="N193" s="15">
        <f>((((('Rate Tables'!D73*9)*0.02778)/5)*K193)*L193)*F193*M193*BA191</f>
        <v>0</v>
      </c>
      <c r="O193" s="28">
        <f>O180</f>
        <v>12</v>
      </c>
      <c r="P193" s="8">
        <f>IF(O193&lt;0,O193*0,1)*O193</f>
        <v>12</v>
      </c>
      <c r="Q193" s="123">
        <f>(E193-K193*F193*L193*M193)</f>
        <v>0</v>
      </c>
      <c r="R193" s="36">
        <f>S180</f>
        <v>3</v>
      </c>
      <c r="S193" s="138">
        <f>VLOOKUP(U180,'Lookup Tables'!$AB$22:$AC$31,2,FALSE)</f>
        <v>32</v>
      </c>
      <c r="T193" s="140">
        <f>VLOOKUP(AF180,'Lookup Tables'!$AB$32:$AC$41,2,FALSE)</f>
        <v>33</v>
      </c>
      <c r="U193" s="129">
        <f>Q193-T193</f>
        <v>-33</v>
      </c>
      <c r="V193" s="12">
        <f>IF(U193&gt;0,1,0)</f>
        <v>0</v>
      </c>
      <c r="W193" s="15">
        <f>((('Rate Tables'!E73*9)*0.02778)/5)*U193*F193*V193*BA191</f>
        <v>0</v>
      </c>
      <c r="X193" s="8">
        <f>AA180</f>
        <v>2</v>
      </c>
      <c r="Y193" s="12"/>
      <c r="Z193" s="119"/>
      <c r="AA193" s="18"/>
      <c r="AB193" s="8">
        <f>IF(X193&lt;0,X193*0,1)*X193</f>
        <v>2</v>
      </c>
      <c r="AC193" s="123">
        <f>Q193-(U193*V193)</f>
        <v>0</v>
      </c>
      <c r="AD193" s="12"/>
      <c r="AE193" s="36">
        <f>AE180</f>
        <v>1</v>
      </c>
      <c r="AF193" s="138">
        <f>VLOOKUP(AF180,'Lookup Tables'!$AB$22:$AC$31,2,FALSE)</f>
        <v>32</v>
      </c>
      <c r="AG193" s="140">
        <f>VLOOKUP(AQ180,'Lookup Tables'!$AB$32:$AC$41,2,FALSE)</f>
        <v>0</v>
      </c>
      <c r="AH193" s="125">
        <f>AC193-AG193</f>
        <v>0</v>
      </c>
      <c r="AI193" s="12">
        <f>IF(AH193&gt;0,1,0)</f>
        <v>0</v>
      </c>
      <c r="AJ193" s="15">
        <f>((('Rate Tables'!F73*9)*0.02778)/5)*AH193*AI193*F193*BA191</f>
        <v>0</v>
      </c>
      <c r="AK193" s="8">
        <f>AL180</f>
        <v>0</v>
      </c>
      <c r="AL193" s="18"/>
      <c r="AM193" s="8">
        <f>IF(AK193&lt;0,AK193*0,1)*AK193</f>
        <v>0</v>
      </c>
      <c r="AN193" s="123">
        <f>AC193-(AH193*AI193)</f>
        <v>0</v>
      </c>
      <c r="AO193" s="12"/>
      <c r="AP193" s="36">
        <f>AP180</f>
        <v>3</v>
      </c>
      <c r="AQ193" s="138">
        <f>VLOOKUP(AQ180,'Lookup Tables'!$AB$22:$AC$31,2,FALSE)</f>
        <v>0</v>
      </c>
      <c r="AR193" s="140">
        <v>0</v>
      </c>
      <c r="AS193" s="125">
        <f>AN193-AR193</f>
        <v>0</v>
      </c>
      <c r="AT193" s="12">
        <f>IF(AS193&gt;0,1,0)</f>
        <v>0</v>
      </c>
      <c r="AU193" s="15">
        <f>((('Rate Tables'!G73*9)*0.02778)/5)*AS193*AT193*F193*BA191</f>
        <v>0</v>
      </c>
      <c r="AV193" s="8">
        <f>AW180</f>
        <v>0</v>
      </c>
      <c r="AW193" s="18"/>
      <c r="AX193" s="19"/>
      <c r="AY193" s="19"/>
      <c r="AZ193" s="12"/>
      <c r="BA193" s="227"/>
      <c r="BB193" s="349">
        <f>IF(BB192="yes",0.5,1)</f>
        <v>1</v>
      </c>
      <c r="BC193" s="12"/>
      <c r="BD193" s="285"/>
      <c r="BE193" s="15"/>
    </row>
    <row r="194" spans="1:59" ht="13.5" customHeight="1" x14ac:dyDescent="0.25">
      <c r="A194" s="145"/>
      <c r="B194" s="12"/>
      <c r="C194" s="114"/>
      <c r="D194" s="12"/>
      <c r="E194" s="12"/>
      <c r="F194" s="12"/>
      <c r="G194" s="12"/>
      <c r="H194" s="12"/>
      <c r="I194" s="12" t="s">
        <v>641</v>
      </c>
      <c r="J194" s="12" t="s">
        <v>642</v>
      </c>
      <c r="K194" s="12" t="s">
        <v>164</v>
      </c>
      <c r="L194" s="13" t="s">
        <v>165</v>
      </c>
      <c r="M194" s="608" t="s">
        <v>128</v>
      </c>
      <c r="N194" s="147" t="s">
        <v>129</v>
      </c>
      <c r="O194" s="135" t="s">
        <v>130</v>
      </c>
      <c r="P194" s="12"/>
      <c r="Q194" s="12"/>
      <c r="R194" s="12"/>
      <c r="S194" s="12"/>
      <c r="T194" s="12"/>
      <c r="U194" s="12"/>
      <c r="V194" s="12" t="s">
        <v>166</v>
      </c>
      <c r="W194" s="12" t="s">
        <v>163</v>
      </c>
      <c r="X194" s="13" t="s">
        <v>165</v>
      </c>
      <c r="Y194" s="650" t="s">
        <v>128</v>
      </c>
      <c r="Z194" s="13" t="s">
        <v>129</v>
      </c>
      <c r="AA194" s="135" t="s">
        <v>130</v>
      </c>
      <c r="AB194" s="12"/>
      <c r="AC194" s="12"/>
      <c r="AD194" s="12"/>
      <c r="AE194" s="12"/>
      <c r="AF194" s="12"/>
      <c r="AG194" s="12" t="s">
        <v>166</v>
      </c>
      <c r="AH194" s="12" t="s">
        <v>163</v>
      </c>
      <c r="AI194" s="13" t="s">
        <v>165</v>
      </c>
      <c r="AJ194" s="650" t="s">
        <v>128</v>
      </c>
      <c r="AK194" s="13" t="s">
        <v>129</v>
      </c>
      <c r="AL194" s="135" t="s">
        <v>130</v>
      </c>
      <c r="AN194" s="13"/>
      <c r="AO194" s="13"/>
      <c r="AP194" s="13"/>
      <c r="AQ194" s="13"/>
      <c r="AR194" s="12" t="s">
        <v>166</v>
      </c>
      <c r="AS194" s="12" t="s">
        <v>163</v>
      </c>
      <c r="AT194" s="13" t="s">
        <v>165</v>
      </c>
      <c r="AU194" s="650" t="s">
        <v>128</v>
      </c>
      <c r="AV194" s="13" t="s">
        <v>129</v>
      </c>
      <c r="AW194" s="135" t="s">
        <v>130</v>
      </c>
      <c r="AX194" s="13"/>
      <c r="AY194" s="13" t="s">
        <v>159</v>
      </c>
      <c r="AZ194" s="12"/>
      <c r="BA194" s="227"/>
      <c r="BB194" s="350"/>
      <c r="BC194" s="12"/>
      <c r="BD194" s="285"/>
      <c r="BE194" s="15"/>
    </row>
    <row r="195" spans="1:59" ht="13.5" customHeight="1" x14ac:dyDescent="0.25">
      <c r="A195" s="145"/>
      <c r="B195" s="12"/>
      <c r="C195" s="114"/>
      <c r="D195" s="12"/>
      <c r="E195" s="12"/>
      <c r="F195" s="12"/>
      <c r="G195" s="12"/>
      <c r="H195" s="12"/>
      <c r="I195" s="12">
        <f>G176</f>
        <v>12</v>
      </c>
      <c r="J195" s="125">
        <f>BA183</f>
        <v>0</v>
      </c>
      <c r="K195" s="758">
        <f>I195-J195</f>
        <v>12</v>
      </c>
      <c r="L195" s="123">
        <f>V195</f>
        <v>0</v>
      </c>
      <c r="M195" s="609">
        <f>IF(M198&lt;=0,0,ROUNDUP(M198,0))</f>
        <v>12</v>
      </c>
      <c r="N195" s="161">
        <f>'Rate Tables'!$P$17</f>
        <v>910</v>
      </c>
      <c r="O195" s="136">
        <f>(M195*N195)*F189*M189</f>
        <v>0</v>
      </c>
      <c r="P195" s="12"/>
      <c r="Q195" s="12"/>
      <c r="R195" s="12"/>
      <c r="S195" s="12"/>
      <c r="T195" s="12"/>
      <c r="U195" s="12"/>
      <c r="V195" s="12">
        <f>VLOOKUP((U189*V189),'Lookup Tables'!$E$38:$F$103,2,0)</f>
        <v>0</v>
      </c>
      <c r="W195" s="12">
        <f>K195-(M195*M189)</f>
        <v>12</v>
      </c>
      <c r="X195" s="119">
        <f>AG195</f>
        <v>0</v>
      </c>
      <c r="Y195" s="609">
        <f>IF(Y198&lt;=0,0,ROUNDUP(Y198,0))</f>
        <v>12</v>
      </c>
      <c r="Z195" s="129">
        <f>'Rate Tables'!$P$18</f>
        <v>910</v>
      </c>
      <c r="AA195" s="136">
        <f>Y195*Z195*F189*V189</f>
        <v>0</v>
      </c>
      <c r="AB195" s="12"/>
      <c r="AC195" s="12"/>
      <c r="AD195" s="12"/>
      <c r="AE195" s="12"/>
      <c r="AF195" s="12"/>
      <c r="AG195" s="12">
        <f>VLOOKUP((AH189*AI189),'Lookup Tables'!$E$38:$F$103,2,0)</f>
        <v>0</v>
      </c>
      <c r="AH195" s="125">
        <f>W195-(Y195*V189)</f>
        <v>12</v>
      </c>
      <c r="AI195" s="119">
        <f>AR195</f>
        <v>0</v>
      </c>
      <c r="AJ195" s="609">
        <f>IF(AJ198&lt;=0,0,ROUNDUP(AJ198,0))</f>
        <v>12</v>
      </c>
      <c r="AK195" s="129">
        <f>'Rate Tables'!$P$19</f>
        <v>910</v>
      </c>
      <c r="AL195" s="136">
        <f>AJ195*AK195*F189*AI189</f>
        <v>0</v>
      </c>
      <c r="AN195" s="19"/>
      <c r="AO195" s="19"/>
      <c r="AP195" s="19"/>
      <c r="AQ195" s="19"/>
      <c r="AR195" s="12">
        <f>VLOOKUP((AS189*AT189),'Lookup Tables'!$E$38:$F$103,2,0)</f>
        <v>0</v>
      </c>
      <c r="AS195" s="125">
        <f>AH195-(AJ195*AI189)</f>
        <v>12</v>
      </c>
      <c r="AT195" s="119">
        <v>0</v>
      </c>
      <c r="AU195" s="609">
        <f>IF(AU198&lt;=0,0,ROUNDUP(AU198,0))</f>
        <v>12</v>
      </c>
      <c r="AV195" s="129">
        <f>'Rate Tables'!$P$20</f>
        <v>928.2</v>
      </c>
      <c r="AW195" s="136">
        <f>AU195*AV195*F189*AT189</f>
        <v>0</v>
      </c>
      <c r="AX195" s="19"/>
      <c r="AY195" s="19">
        <f>VLOOKUP(B172,'Lookup Tables'!$AK$22:$AM$24,2,0)</f>
        <v>0</v>
      </c>
      <c r="AZ195" s="12"/>
      <c r="BA195" s="307"/>
      <c r="BB195" s="358"/>
      <c r="BC195" s="12"/>
      <c r="BD195" s="285"/>
      <c r="BE195" s="15"/>
    </row>
    <row r="196" spans="1:59" ht="13.5" customHeight="1" x14ac:dyDescent="0.25">
      <c r="A196" s="145"/>
      <c r="B196" s="12"/>
      <c r="C196" s="114"/>
      <c r="D196" s="12"/>
      <c r="E196" s="12"/>
      <c r="F196" s="12"/>
      <c r="G196" s="12"/>
      <c r="H196" s="12"/>
      <c r="I196" s="12">
        <f>G178</f>
        <v>12</v>
      </c>
      <c r="J196" s="125">
        <f>J195</f>
        <v>0</v>
      </c>
      <c r="K196" s="758">
        <f t="shared" ref="K196:K197" si="1">I196-J196</f>
        <v>12</v>
      </c>
      <c r="L196" s="123">
        <f>V196</f>
        <v>0</v>
      </c>
      <c r="M196" s="609">
        <f t="shared" ref="M196:M197" si="2">IF(M199&lt;=0,0,ROUNDUP(M199,0))</f>
        <v>12</v>
      </c>
      <c r="N196" s="161">
        <f>'Rate Tables'!$P$18</f>
        <v>910</v>
      </c>
      <c r="O196" s="136">
        <f>(M196*N196)*F191*M191</f>
        <v>0</v>
      </c>
      <c r="P196" s="12"/>
      <c r="Q196" s="12"/>
      <c r="R196" s="12"/>
      <c r="S196" s="12"/>
      <c r="T196" s="12"/>
      <c r="U196" s="12"/>
      <c r="V196" s="12">
        <f>VLOOKUP((U191*V191),'Lookup Tables'!$E$38:$F$103,2,0)</f>
        <v>0</v>
      </c>
      <c r="W196" s="12">
        <f>K196-(M196*M191)</f>
        <v>12</v>
      </c>
      <c r="X196" s="119">
        <f>AG196</f>
        <v>0</v>
      </c>
      <c r="Y196" s="609">
        <f t="shared" ref="Y196:Y197" si="3">IF(Y199&lt;=0,0,ROUNDUP(Y199,0))</f>
        <v>12</v>
      </c>
      <c r="Z196" s="129">
        <f>'Rate Tables'!$P$19</f>
        <v>910</v>
      </c>
      <c r="AA196" s="136">
        <f>Y196*Z196*F191*V191</f>
        <v>0</v>
      </c>
      <c r="AB196" s="12"/>
      <c r="AC196" s="12"/>
      <c r="AD196" s="12"/>
      <c r="AE196" s="12"/>
      <c r="AF196" s="12"/>
      <c r="AG196" s="12">
        <f>VLOOKUP((AH191*AI191),'Lookup Tables'!$E$38:$F$103,2,0)</f>
        <v>0</v>
      </c>
      <c r="AH196" s="125">
        <f>W196-(Y196*V191)</f>
        <v>12</v>
      </c>
      <c r="AI196" s="119">
        <f>AR196</f>
        <v>0</v>
      </c>
      <c r="AJ196" s="609">
        <f t="shared" ref="AJ196:AJ197" si="4">IF(AJ199&lt;=0,0,ROUNDUP(AJ199,0))</f>
        <v>12</v>
      </c>
      <c r="AK196" s="129">
        <f>'Rate Tables'!$P$20</f>
        <v>928.2</v>
      </c>
      <c r="AL196" s="136">
        <f>AJ196*AK196*F191*AI191</f>
        <v>0</v>
      </c>
      <c r="AN196" s="19"/>
      <c r="AO196" s="19"/>
      <c r="AP196" s="19"/>
      <c r="AQ196" s="19"/>
      <c r="AR196" s="12">
        <f>VLOOKUP((AS191*AT191),'Lookup Tables'!$E$38:$F$103,2,0)</f>
        <v>0</v>
      </c>
      <c r="AS196" s="125">
        <f>AH196-(AJ196*AI191)</f>
        <v>12</v>
      </c>
      <c r="AT196" s="119">
        <v>0</v>
      </c>
      <c r="AU196" s="609">
        <f t="shared" ref="AU196:AU197" si="5">IF(AU199&lt;=0,0,ROUNDUP(AU199,0))</f>
        <v>12</v>
      </c>
      <c r="AV196" s="129">
        <f>'Rate Tables'!$P$21</f>
        <v>946.76</v>
      </c>
      <c r="AW196" s="737">
        <f>AU196*AV196*F191*AT191</f>
        <v>0</v>
      </c>
      <c r="AX196" s="19"/>
      <c r="AY196" s="19"/>
      <c r="AZ196" s="12"/>
      <c r="BA196" s="307"/>
      <c r="BB196" s="349"/>
      <c r="BC196" s="12"/>
      <c r="BD196" s="285"/>
      <c r="BE196" s="15"/>
    </row>
    <row r="197" spans="1:59" ht="13.5" customHeight="1" x14ac:dyDescent="0.25">
      <c r="A197" s="145"/>
      <c r="B197" s="12"/>
      <c r="C197" s="114"/>
      <c r="D197" s="12"/>
      <c r="E197" s="12"/>
      <c r="F197" s="12"/>
      <c r="G197" s="12"/>
      <c r="H197" s="12"/>
      <c r="I197" s="12">
        <f>G180</f>
        <v>12</v>
      </c>
      <c r="J197" s="125">
        <f>J196</f>
        <v>0</v>
      </c>
      <c r="K197" s="758">
        <f t="shared" si="1"/>
        <v>12</v>
      </c>
      <c r="L197" s="123">
        <f>V197</f>
        <v>0</v>
      </c>
      <c r="M197" s="609">
        <f t="shared" si="2"/>
        <v>12</v>
      </c>
      <c r="N197" s="161">
        <f>'Rate Tables'!$P$19</f>
        <v>910</v>
      </c>
      <c r="O197" s="136">
        <f>(M197*N197)*F193*M193</f>
        <v>0</v>
      </c>
      <c r="P197" s="12"/>
      <c r="Q197" s="12"/>
      <c r="R197" s="12"/>
      <c r="S197" s="12"/>
      <c r="T197" s="12"/>
      <c r="U197" s="12"/>
      <c r="V197" s="12">
        <f>VLOOKUP((U193*V193),'Lookup Tables'!$E$38:$F$103,2,0)</f>
        <v>0</v>
      </c>
      <c r="W197" s="12">
        <f>K197-(M197*M193)</f>
        <v>12</v>
      </c>
      <c r="X197" s="119">
        <f>AG197</f>
        <v>0</v>
      </c>
      <c r="Y197" s="609">
        <f t="shared" si="3"/>
        <v>12</v>
      </c>
      <c r="Z197" s="129">
        <f>'Rate Tables'!$P$20</f>
        <v>928.2</v>
      </c>
      <c r="AA197" s="136">
        <f>Y197*Z197*F193*V193</f>
        <v>0</v>
      </c>
      <c r="AB197" s="12"/>
      <c r="AC197" s="12"/>
      <c r="AD197" s="12"/>
      <c r="AE197" s="12"/>
      <c r="AF197" s="12"/>
      <c r="AG197" s="12">
        <f>VLOOKUP((AH193*AI193),'Lookup Tables'!$E$38:$F$103,2,0)</f>
        <v>0</v>
      </c>
      <c r="AH197" s="125">
        <f>W197-(Y197*V193)</f>
        <v>12</v>
      </c>
      <c r="AI197" s="119">
        <f>AR197</f>
        <v>0</v>
      </c>
      <c r="AJ197" s="609">
        <f t="shared" si="4"/>
        <v>12</v>
      </c>
      <c r="AK197" s="129">
        <f>'Rate Tables'!$P$21</f>
        <v>946.76</v>
      </c>
      <c r="AL197" s="136" t="b">
        <f>AW195=AJ197*AK197*F193*AI193</f>
        <v>1</v>
      </c>
      <c r="AN197" s="19"/>
      <c r="AO197" s="19"/>
      <c r="AP197" s="19"/>
      <c r="AQ197" s="19"/>
      <c r="AR197" s="12">
        <f>VLOOKUP((AS193*AT193),'Lookup Tables'!$E$38:$F$103,2,0)</f>
        <v>0</v>
      </c>
      <c r="AS197" s="123">
        <f>AH197-(AJ197*AI193)</f>
        <v>12</v>
      </c>
      <c r="AT197" s="119">
        <v>0</v>
      </c>
      <c r="AU197" s="609">
        <f t="shared" si="5"/>
        <v>12</v>
      </c>
      <c r="AV197" s="129">
        <f>'Rate Tables'!$P$22</f>
        <v>965.7</v>
      </c>
      <c r="AW197" s="136">
        <f>AU197*AV197*F193*AT193</f>
        <v>0</v>
      </c>
      <c r="AX197" s="19"/>
      <c r="AY197" s="19"/>
      <c r="AZ197" s="12"/>
      <c r="BA197" s="307"/>
      <c r="BB197" s="349"/>
      <c r="BC197" s="12"/>
      <c r="BD197" s="285"/>
      <c r="BE197" s="15"/>
    </row>
    <row r="198" spans="1:59" ht="13.5" customHeight="1" x14ac:dyDescent="0.25">
      <c r="A198" s="145"/>
      <c r="B198" s="12"/>
      <c r="C198" s="114"/>
      <c r="D198" s="12"/>
      <c r="E198" s="12"/>
      <c r="F198" s="12"/>
      <c r="G198" s="729" t="s">
        <v>584</v>
      </c>
      <c r="H198" s="12"/>
      <c r="I198" s="12"/>
      <c r="J198" s="12"/>
      <c r="K198" s="12"/>
      <c r="L198" s="123"/>
      <c r="M198" s="648">
        <f>K195-L195</f>
        <v>12</v>
      </c>
      <c r="N198" s="129"/>
      <c r="O198" s="136"/>
      <c r="P198" s="12"/>
      <c r="Q198" s="12"/>
      <c r="R198" s="12"/>
      <c r="S198" s="12"/>
      <c r="T198" s="12"/>
      <c r="U198" s="12"/>
      <c r="V198" s="12"/>
      <c r="W198" s="12"/>
      <c r="X198" s="119"/>
      <c r="Y198" s="651">
        <f>W195-X195</f>
        <v>12</v>
      </c>
      <c r="Z198" s="129"/>
      <c r="AA198" s="125"/>
      <c r="AB198" s="12"/>
      <c r="AC198" s="12"/>
      <c r="AD198" s="12"/>
      <c r="AE198" s="12"/>
      <c r="AF198" s="12"/>
      <c r="AG198" s="12"/>
      <c r="AH198" s="125"/>
      <c r="AI198" s="119"/>
      <c r="AJ198" s="735">
        <f>AH195-AI195</f>
        <v>12</v>
      </c>
      <c r="AK198" s="129"/>
      <c r="AL198" s="125"/>
      <c r="AN198" s="19"/>
      <c r="AO198" s="19"/>
      <c r="AP198" s="19"/>
      <c r="AQ198" s="19"/>
      <c r="AR198" s="12"/>
      <c r="AS198" s="125"/>
      <c r="AT198" s="119"/>
      <c r="AU198" s="735">
        <f>AS195-AT195</f>
        <v>12</v>
      </c>
      <c r="AV198" s="129"/>
      <c r="AW198" s="125"/>
      <c r="AX198" s="19"/>
      <c r="AY198" s="19"/>
      <c r="AZ198" s="12"/>
      <c r="BA198" s="307"/>
      <c r="BB198" s="349"/>
      <c r="BC198" s="12"/>
      <c r="BD198" s="285"/>
      <c r="BE198" s="15"/>
    </row>
    <row r="199" spans="1:59" ht="13.5" customHeight="1" x14ac:dyDescent="0.25">
      <c r="A199" s="145"/>
      <c r="B199" s="12"/>
      <c r="C199" s="114"/>
      <c r="D199" s="12"/>
      <c r="E199" s="12"/>
      <c r="F199" s="12"/>
      <c r="G199" s="729"/>
      <c r="H199" s="12"/>
      <c r="I199" s="12"/>
      <c r="J199" s="12"/>
      <c r="K199" s="12"/>
      <c r="L199" s="123"/>
      <c r="M199" s="648">
        <f>K196-L196</f>
        <v>12</v>
      </c>
      <c r="N199" s="129"/>
      <c r="O199" s="125"/>
      <c r="P199" s="12"/>
      <c r="Q199" s="12"/>
      <c r="R199" s="12"/>
      <c r="S199" s="12"/>
      <c r="T199" s="12"/>
      <c r="U199" s="12"/>
      <c r="V199" s="12"/>
      <c r="W199" s="12"/>
      <c r="X199" s="119"/>
      <c r="Y199" s="651">
        <f>W196-X196</f>
        <v>12</v>
      </c>
      <c r="Z199" s="129"/>
      <c r="AA199" s="125"/>
      <c r="AB199" s="12"/>
      <c r="AC199" s="12"/>
      <c r="AD199" s="12"/>
      <c r="AE199" s="12"/>
      <c r="AF199" s="12"/>
      <c r="AG199" s="12"/>
      <c r="AH199" s="125"/>
      <c r="AI199" s="119"/>
      <c r="AJ199" s="651">
        <f>AH196-AI196</f>
        <v>12</v>
      </c>
      <c r="AK199" s="129"/>
      <c r="AL199" s="125"/>
      <c r="AN199" s="19"/>
      <c r="AO199" s="19"/>
      <c r="AP199" s="19"/>
      <c r="AQ199" s="19"/>
      <c r="AR199" s="12"/>
      <c r="AS199" s="125"/>
      <c r="AT199" s="119"/>
      <c r="AU199" s="651">
        <f>AS196-AT196</f>
        <v>12</v>
      </c>
      <c r="AV199" s="129"/>
      <c r="AW199" s="125"/>
      <c r="AX199" s="19"/>
      <c r="AY199" s="19"/>
      <c r="AZ199" s="12"/>
      <c r="BA199" s="307"/>
      <c r="BB199" s="349"/>
      <c r="BC199" s="12"/>
      <c r="BD199" s="285"/>
      <c r="BE199" s="15"/>
    </row>
    <row r="200" spans="1:59" ht="13.5" customHeight="1" x14ac:dyDescent="0.25">
      <c r="A200" s="145"/>
      <c r="B200" s="162"/>
      <c r="C200" s="115">
        <f>(B174*12)*2</f>
        <v>0</v>
      </c>
      <c r="D200" s="115"/>
      <c r="E200" s="126"/>
      <c r="F200" s="126"/>
      <c r="G200" s="12"/>
      <c r="H200" s="12"/>
      <c r="I200" s="12"/>
      <c r="J200" s="12"/>
      <c r="K200" s="12"/>
      <c r="L200" s="12"/>
      <c r="M200" s="649">
        <f>K197-L197</f>
        <v>12</v>
      </c>
      <c r="N200" s="12"/>
      <c r="O200" s="12"/>
      <c r="P200" s="12"/>
      <c r="Q200" s="12"/>
      <c r="R200" s="12"/>
      <c r="S200" s="12"/>
      <c r="T200" s="12"/>
      <c r="U200" s="12"/>
      <c r="V200" s="12"/>
      <c r="W200" s="12"/>
      <c r="X200" s="12"/>
      <c r="Y200" s="652">
        <f>W197-X197</f>
        <v>12</v>
      </c>
      <c r="Z200" s="12"/>
      <c r="AA200" s="12"/>
      <c r="AB200" s="12"/>
      <c r="AC200" s="12"/>
      <c r="AD200" s="12"/>
      <c r="AE200" s="12"/>
      <c r="AF200" s="12"/>
      <c r="AG200" s="12"/>
      <c r="AH200" s="12"/>
      <c r="AI200" s="12"/>
      <c r="AJ200" s="652">
        <f>AH197-AI197</f>
        <v>12</v>
      </c>
      <c r="AK200" s="12"/>
      <c r="AL200" s="12"/>
      <c r="AN200" s="12"/>
      <c r="AO200" s="12"/>
      <c r="AP200" s="12"/>
      <c r="AQ200" s="12"/>
      <c r="AR200" s="12"/>
      <c r="AS200" s="12"/>
      <c r="AT200" s="12"/>
      <c r="AU200" s="652">
        <f>AS197-AT197</f>
        <v>12</v>
      </c>
      <c r="AV200" s="12"/>
      <c r="AW200" s="12"/>
      <c r="AX200" s="12"/>
      <c r="AY200" s="12"/>
      <c r="AZ200" s="12"/>
      <c r="BA200" s="306" t="s">
        <v>413</v>
      </c>
      <c r="BB200" s="348">
        <f>Personnel!O66</f>
        <v>0</v>
      </c>
      <c r="BC200" s="276" t="s">
        <v>416</v>
      </c>
      <c r="BD200" s="285">
        <f>(M202+M204+M206+W202+W204+W206+AI202+AI204+AI206+AT202+AT204+AT206)*AY202</f>
        <v>0</v>
      </c>
      <c r="BE200" s="15"/>
      <c r="BG200" s="313"/>
    </row>
    <row r="201" spans="1:59" ht="13.5" customHeight="1" x14ac:dyDescent="0.25">
      <c r="A201" s="145"/>
      <c r="B201" s="12"/>
      <c r="C201" s="117" t="s">
        <v>30</v>
      </c>
      <c r="D201" s="117"/>
      <c r="E201" s="13"/>
      <c r="F201" s="13" t="s">
        <v>42</v>
      </c>
      <c r="G201" s="13" t="s">
        <v>41</v>
      </c>
      <c r="H201" s="65" t="s">
        <v>77</v>
      </c>
      <c r="I201" s="150" t="s">
        <v>50</v>
      </c>
      <c r="J201" s="13" t="s">
        <v>52</v>
      </c>
      <c r="K201" s="13" t="s">
        <v>35</v>
      </c>
      <c r="L201" s="13" t="s">
        <v>82</v>
      </c>
      <c r="M201" s="13" t="s">
        <v>31</v>
      </c>
      <c r="N201" s="13" t="s">
        <v>69</v>
      </c>
      <c r="O201" s="12"/>
      <c r="P201" s="13" t="s">
        <v>72</v>
      </c>
      <c r="Q201" s="65" t="s">
        <v>80</v>
      </c>
      <c r="R201" s="62" t="s">
        <v>81</v>
      </c>
      <c r="S201" s="65" t="s">
        <v>77</v>
      </c>
      <c r="T201" s="674" t="s">
        <v>107</v>
      </c>
      <c r="U201" s="13" t="s">
        <v>53</v>
      </c>
      <c r="V201" s="13" t="s">
        <v>82</v>
      </c>
      <c r="W201" s="13" t="s">
        <v>32</v>
      </c>
      <c r="X201" s="13" t="s">
        <v>69</v>
      </c>
      <c r="Y201" s="12"/>
      <c r="Z201" s="12"/>
      <c r="AA201" s="12"/>
      <c r="AB201" s="13" t="s">
        <v>72</v>
      </c>
      <c r="AC201" s="13" t="s">
        <v>80</v>
      </c>
      <c r="AD201" s="62" t="s">
        <v>81</v>
      </c>
      <c r="AE201" s="65" t="s">
        <v>77</v>
      </c>
      <c r="AF201" s="151" t="s">
        <v>107</v>
      </c>
      <c r="AG201" s="13" t="s">
        <v>78</v>
      </c>
      <c r="AH201" s="13" t="s">
        <v>82</v>
      </c>
      <c r="AI201" s="13" t="s">
        <v>33</v>
      </c>
      <c r="AJ201" s="13" t="s">
        <v>69</v>
      </c>
      <c r="AK201" s="12"/>
      <c r="AL201" s="12"/>
      <c r="AM201" s="13" t="s">
        <v>72</v>
      </c>
      <c r="AN201" s="13" t="s">
        <v>80</v>
      </c>
      <c r="AO201" s="62" t="s">
        <v>81</v>
      </c>
      <c r="AP201" s="65" t="s">
        <v>77</v>
      </c>
      <c r="AQ201" s="151" t="s">
        <v>107</v>
      </c>
      <c r="AR201" s="13" t="s">
        <v>78</v>
      </c>
      <c r="AS201" s="13" t="s">
        <v>82</v>
      </c>
      <c r="AT201" s="13" t="s">
        <v>33</v>
      </c>
      <c r="AU201" s="13" t="s">
        <v>69</v>
      </c>
      <c r="AV201" s="13"/>
      <c r="AW201" s="13"/>
      <c r="AX201" s="13"/>
      <c r="AY201" s="13" t="s">
        <v>159</v>
      </c>
      <c r="AZ201" s="12"/>
      <c r="BA201" s="227"/>
      <c r="BB201" s="12"/>
      <c r="BC201" s="12"/>
      <c r="BD201" s="285"/>
      <c r="BE201" s="15"/>
    </row>
    <row r="202" spans="1:59" s="12" customFormat="1" ht="13.5" customHeight="1" x14ac:dyDescent="0.25">
      <c r="A202" s="145"/>
      <c r="C202" s="115"/>
      <c r="D202" s="115"/>
      <c r="E202" s="152">
        <f>BB$200</f>
        <v>0</v>
      </c>
      <c r="F202" s="19">
        <f>IF($D$4=2022,1,0)</f>
        <v>0</v>
      </c>
      <c r="G202" s="178">
        <f>IF($B210="Yes",$C$5,$I209)</f>
        <v>12</v>
      </c>
      <c r="H202" s="36">
        <f>VLOOKUP(H208,'Lookup Tables'!$A$22:$B$33,2,FALSE)</f>
        <v>3</v>
      </c>
      <c r="I202" s="192">
        <f>VLOOKUP($E$4,'Lookup Tables'!$AB$46:$AN$58,MATCH($H202,'Lookup Tables'!$AB$46:$AN$46),FALSE)</f>
        <v>12</v>
      </c>
      <c r="J202" s="19">
        <f>12-I202</f>
        <v>0</v>
      </c>
      <c r="K202" s="19">
        <f>IF(G202&lt;J202,G202,J202)</f>
        <v>0</v>
      </c>
      <c r="L202" s="195">
        <f>IF(12-I202&gt;=1,1,0)</f>
        <v>0</v>
      </c>
      <c r="M202" s="20">
        <f>((('Rate Tables'!$B94*$E202)*PersonCalcYr2!$K202)*L202)*$F202</f>
        <v>0</v>
      </c>
      <c r="N202" s="8">
        <f>G202-(J202*L202)</f>
        <v>12</v>
      </c>
      <c r="P202" s="8">
        <f>IF(N202&lt;0,N202*0,1)*N202</f>
        <v>12</v>
      </c>
      <c r="Q202" s="120">
        <f>VLOOKUP($H208,'Lookup Tables'!$A$22:$B$33,2,FALSE)+(K202*L202)</f>
        <v>3</v>
      </c>
      <c r="R202" s="121" t="str">
        <f>VLOOKUP(Q202,'Lookup Tables'!$A$38:$B$151,2,FALSE)</f>
        <v>Sept</v>
      </c>
      <c r="S202" s="36">
        <f>VLOOKUP(R202,'Lookup Tables'!$A$22:$B$33,2,FALSE)</f>
        <v>3</v>
      </c>
      <c r="T202" s="672">
        <f>VLOOKUP($E$4,'Lookup Tables'!$AQ$46:$BC$58,MATCH(PersonCalcYr2!$S202,'Lookup Tables'!$AQ$46:$BC$46),FALSE)</f>
        <v>10</v>
      </c>
      <c r="U202" s="19">
        <f>IF(P202&lt;T202,P202,T202)</f>
        <v>10</v>
      </c>
      <c r="V202" s="119">
        <f>IF((U202)&lt;=0,0,1)</f>
        <v>1</v>
      </c>
      <c r="W202" s="20">
        <f>(('Rate Tables'!$C94*$E202)*PersonCalcYr2!$U202)*$V202*$F202</f>
        <v>0</v>
      </c>
      <c r="X202" s="8">
        <f>P202-(U202*V202)</f>
        <v>2</v>
      </c>
      <c r="AB202" s="19">
        <f>X202</f>
        <v>2</v>
      </c>
      <c r="AC202" s="123">
        <f>AC176</f>
        <v>13</v>
      </c>
      <c r="AD202" s="121" t="str">
        <f>VLOOKUP(AC202,'Lookup Tables'!$A$38:$B$151,2,FALSE)</f>
        <v>July</v>
      </c>
      <c r="AE202" s="36">
        <f>VLOOKUP(AD202,'Lookup Tables'!$A$22:$B$33,2,FALSE)</f>
        <v>1</v>
      </c>
      <c r="AF202" s="87">
        <f>VLOOKUP($AE202,'Lookup Tables'!$AC$3:$AW$16,MATCH(PersonCalcYr2!$AB202,'Lookup Tables'!$AC$3:$AW$3),FALSE)</f>
        <v>2</v>
      </c>
      <c r="AG202" s="19">
        <f>IF(AB202&lt;AF202,AB202,AF202)</f>
        <v>2</v>
      </c>
      <c r="AH202" s="119">
        <f>IF((AG202)&lt;=0,0,1)</f>
        <v>1</v>
      </c>
      <c r="AI202" s="20">
        <f>(('Rate Tables'!$D94*$E202)*PersonCalcYr2!AG202)*AH202*$F202</f>
        <v>0</v>
      </c>
      <c r="AJ202" s="8">
        <f>AB202-(AG202*AH202)</f>
        <v>0</v>
      </c>
      <c r="AM202" s="19">
        <f>AJ202</f>
        <v>0</v>
      </c>
      <c r="AN202" s="123">
        <f>AN176</f>
        <v>3</v>
      </c>
      <c r="AO202" s="121" t="str">
        <f>VLOOKUP(AN202,'Lookup Tables'!$A$38:$B$151,2,FALSE)</f>
        <v>Sept</v>
      </c>
      <c r="AP202" s="36">
        <f>VLOOKUP(AO202,'Lookup Tables'!$A$22:$B$33,2,FALSE)</f>
        <v>3</v>
      </c>
      <c r="AQ202" s="87">
        <f>VLOOKUP($AP202,'Lookup Tables'!$AC$3:$AW$16,MATCH(PersonCalcYr2!$AM202,'Lookup Tables'!$AC$3:$AW$3),FALSE)</f>
        <v>0</v>
      </c>
      <c r="AR202" s="19">
        <f>IF(AM202&lt;AQ202,AM202,AQ202)</f>
        <v>0</v>
      </c>
      <c r="AS202" s="119">
        <f>IF((AR202)&lt;=0,0,1)</f>
        <v>0</v>
      </c>
      <c r="AT202" s="20">
        <f>(('Rate Tables'!$E94*$E202)*PersonCalcYr2!AR202)*AS202*$F202</f>
        <v>0</v>
      </c>
      <c r="AU202" s="8">
        <f>AM202-(AR202*AS202)</f>
        <v>0</v>
      </c>
      <c r="AV202" s="19"/>
      <c r="AW202" s="19"/>
      <c r="AX202" s="19"/>
      <c r="AY202" s="19">
        <f>VLOOKUP(B172,'Lookup Tables'!$AK$22:$AM$24,3,0)</f>
        <v>1</v>
      </c>
      <c r="BA202" s="227"/>
      <c r="BC202" s="276" t="s">
        <v>188</v>
      </c>
      <c r="BD202" s="285">
        <f>BD200*'Rate Tables'!P$8</f>
        <v>0</v>
      </c>
      <c r="BE202" s="15"/>
    </row>
    <row r="203" spans="1:59" ht="13.5" customHeight="1" x14ac:dyDescent="0.25">
      <c r="A203" s="145"/>
      <c r="B203" s="12"/>
      <c r="C203" s="117" t="s">
        <v>597</v>
      </c>
      <c r="D203" s="117"/>
      <c r="E203" s="13"/>
      <c r="F203" s="13" t="s">
        <v>42</v>
      </c>
      <c r="G203" s="13" t="s">
        <v>41</v>
      </c>
      <c r="H203" s="65" t="s">
        <v>77</v>
      </c>
      <c r="I203" s="150" t="s">
        <v>51</v>
      </c>
      <c r="J203" s="13" t="s">
        <v>110</v>
      </c>
      <c r="K203" s="13" t="s">
        <v>53</v>
      </c>
      <c r="L203" s="13" t="s">
        <v>82</v>
      </c>
      <c r="M203" s="13" t="s">
        <v>32</v>
      </c>
      <c r="N203" s="13" t="s">
        <v>69</v>
      </c>
      <c r="O203" s="12"/>
      <c r="P203" s="13" t="s">
        <v>72</v>
      </c>
      <c r="Q203" s="65" t="s">
        <v>80</v>
      </c>
      <c r="R203" s="62" t="s">
        <v>81</v>
      </c>
      <c r="S203" s="65" t="s">
        <v>77</v>
      </c>
      <c r="T203" s="674" t="s">
        <v>107</v>
      </c>
      <c r="U203" s="13" t="s">
        <v>78</v>
      </c>
      <c r="V203" s="13" t="s">
        <v>82</v>
      </c>
      <c r="W203" s="13" t="s">
        <v>33</v>
      </c>
      <c r="X203" s="13" t="s">
        <v>69</v>
      </c>
      <c r="Y203" s="12"/>
      <c r="Z203" s="12"/>
      <c r="AA203" s="12"/>
      <c r="AB203" s="13" t="s">
        <v>72</v>
      </c>
      <c r="AC203" s="13" t="s">
        <v>80</v>
      </c>
      <c r="AD203" s="62" t="s">
        <v>81</v>
      </c>
      <c r="AE203" s="65" t="s">
        <v>77</v>
      </c>
      <c r="AF203" s="151" t="s">
        <v>107</v>
      </c>
      <c r="AG203" s="13" t="s">
        <v>79</v>
      </c>
      <c r="AH203" s="13" t="s">
        <v>82</v>
      </c>
      <c r="AI203" s="13" t="s">
        <v>34</v>
      </c>
      <c r="AJ203" s="13" t="s">
        <v>69</v>
      </c>
      <c r="AK203" s="12"/>
      <c r="AL203" s="12"/>
      <c r="AM203" s="13" t="s">
        <v>72</v>
      </c>
      <c r="AN203" s="13" t="s">
        <v>80</v>
      </c>
      <c r="AO203" s="62" t="s">
        <v>81</v>
      </c>
      <c r="AP203" s="65" t="s">
        <v>77</v>
      </c>
      <c r="AQ203" s="151" t="s">
        <v>107</v>
      </c>
      <c r="AR203" s="13" t="s">
        <v>79</v>
      </c>
      <c r="AS203" s="13" t="s">
        <v>82</v>
      </c>
      <c r="AT203" s="13" t="s">
        <v>34</v>
      </c>
      <c r="AU203" s="13" t="s">
        <v>69</v>
      </c>
      <c r="AV203" s="13"/>
      <c r="AW203" s="13"/>
      <c r="AX203" s="13"/>
      <c r="AY203" s="13"/>
      <c r="AZ203" s="12"/>
      <c r="BA203" s="311"/>
      <c r="BB203" s="12"/>
      <c r="BC203" s="12"/>
      <c r="BD203" s="285"/>
      <c r="BE203" s="15"/>
    </row>
    <row r="204" spans="1:59" ht="13.5" customHeight="1" x14ac:dyDescent="0.25">
      <c r="A204" s="145"/>
      <c r="B204" s="12"/>
      <c r="C204" s="115"/>
      <c r="D204" s="115"/>
      <c r="E204" s="152">
        <f>BB$200</f>
        <v>0</v>
      </c>
      <c r="F204" s="19">
        <f>IF($D$4=2023,1,0)</f>
        <v>1</v>
      </c>
      <c r="G204" s="178">
        <f>IF($B210="Yes",$C$5,$I209)</f>
        <v>12</v>
      </c>
      <c r="H204" s="36">
        <f>VLOOKUP(H208,'Lookup Tables'!$A$22:$B$33,2,FALSE)</f>
        <v>3</v>
      </c>
      <c r="I204" s="192">
        <f>VLOOKUP($E$4,'Lookup Tables'!$AB$46:$AN$58,MATCH($H204,'Lookup Tables'!$AB$46:$AN$46),FALSE)</f>
        <v>12</v>
      </c>
      <c r="J204" s="19">
        <f>12-I204</f>
        <v>0</v>
      </c>
      <c r="K204" s="19">
        <f>IF(G204&lt;J204,G204,J204)</f>
        <v>0</v>
      </c>
      <c r="L204" s="195">
        <f>IF(12-I204&gt;=1,1,0)</f>
        <v>0</v>
      </c>
      <c r="M204" s="20">
        <f>((('Rate Tables'!$C94*$E204)*PersonCalcYr2!$K204)*L204)*$F204</f>
        <v>0</v>
      </c>
      <c r="N204" s="8">
        <f>G204-(J204*L204)</f>
        <v>12</v>
      </c>
      <c r="O204" s="12"/>
      <c r="P204" s="8">
        <f>IF(N204&lt;0,N204*0,1)*N204</f>
        <v>12</v>
      </c>
      <c r="Q204" s="120">
        <f>VLOOKUP($H208,'Lookup Tables'!$A$22:$B$33,2,FALSE)+(K204*L204)</f>
        <v>3</v>
      </c>
      <c r="R204" s="121" t="str">
        <f>VLOOKUP(Q204,'Lookup Tables'!$A$38:$B$151,2,FALSE)</f>
        <v>Sept</v>
      </c>
      <c r="S204" s="36">
        <f>VLOOKUP(R204,'Lookup Tables'!$A$22:$B$33,2,FALSE)</f>
        <v>3</v>
      </c>
      <c r="T204" s="672">
        <f>VLOOKUP($E$4,'Lookup Tables'!$AQ$46:$BC$58,MATCH(PersonCalcYr2!$S204,'Lookup Tables'!$AQ$46:$BC$46),FALSE)</f>
        <v>10</v>
      </c>
      <c r="U204" s="19">
        <f>IF(P204&lt;T204,P204,T204)</f>
        <v>10</v>
      </c>
      <c r="V204" s="119">
        <f>IF((U204)&lt;=0,0,1)</f>
        <v>1</v>
      </c>
      <c r="W204" s="20">
        <f>(('Rate Tables'!$D94*$E204)*PersonCalcYr2!$U204)*$V204*$F204</f>
        <v>0</v>
      </c>
      <c r="X204" s="8">
        <f>P204-(U204*V204)</f>
        <v>2</v>
      </c>
      <c r="Y204" s="12"/>
      <c r="Z204" s="12"/>
      <c r="AA204" s="12"/>
      <c r="AB204" s="19">
        <f>X204</f>
        <v>2</v>
      </c>
      <c r="AC204" s="123">
        <f>AC178</f>
        <v>13</v>
      </c>
      <c r="AD204" s="121" t="str">
        <f>VLOOKUP(AC204,'Lookup Tables'!$A$38:$B$151,2,FALSE)</f>
        <v>July</v>
      </c>
      <c r="AE204" s="36">
        <f>VLOOKUP(AD204,'Lookup Tables'!$A$22:$B$33,2,FALSE)</f>
        <v>1</v>
      </c>
      <c r="AF204" s="87">
        <f>VLOOKUP($AE204,'Lookup Tables'!$AC$3:$AW$16,MATCH(PersonCalcYr2!$AB204,'Lookup Tables'!$AC$3:$AW$3),FALSE)</f>
        <v>2</v>
      </c>
      <c r="AG204" s="19">
        <f>IF(AB204&lt;AF204,AB204,AF204)</f>
        <v>2</v>
      </c>
      <c r="AH204" s="119">
        <f>IF((AG204)&lt;=0,0,1)</f>
        <v>1</v>
      </c>
      <c r="AI204" s="20">
        <f>(('Rate Tables'!$E94*$E204)*PersonCalcYr2!AG204)*AH204*$F204</f>
        <v>0</v>
      </c>
      <c r="AJ204" s="8">
        <f>AB204-(AG204*AH204)</f>
        <v>0</v>
      </c>
      <c r="AK204" s="12"/>
      <c r="AL204" s="12"/>
      <c r="AM204" s="19">
        <f>AJ204</f>
        <v>0</v>
      </c>
      <c r="AN204" s="123">
        <f>AN178</f>
        <v>3</v>
      </c>
      <c r="AO204" s="121" t="str">
        <f>VLOOKUP(AN204,'Lookup Tables'!$A$38:$B$151,2,FALSE)</f>
        <v>Sept</v>
      </c>
      <c r="AP204" s="36">
        <f>VLOOKUP(AO204,'Lookup Tables'!$A$22:$B$33,2,FALSE)</f>
        <v>3</v>
      </c>
      <c r="AQ204" s="87">
        <f>VLOOKUP($AP204,'Lookup Tables'!$AC$3:$AW$16,MATCH(PersonCalcYr2!$AM204,'Lookup Tables'!$AC$3:$AW$3),FALSE)</f>
        <v>0</v>
      </c>
      <c r="AR204" s="19">
        <f>IF(AM204&lt;AQ204,AM204,AQ204)</f>
        <v>0</v>
      </c>
      <c r="AS204" s="119">
        <f>IF((AR204)&lt;=0,0,1)</f>
        <v>0</v>
      </c>
      <c r="AT204" s="20">
        <f>(('Rate Tables'!$F94*$E204)*PersonCalcYr2!AR204)*AS204*$F204</f>
        <v>0</v>
      </c>
      <c r="AU204" s="8">
        <f>AM204-(AR204*AS204)</f>
        <v>0</v>
      </c>
      <c r="AV204" s="20"/>
      <c r="AW204" s="20"/>
      <c r="AX204" s="20"/>
      <c r="AY204" s="20"/>
      <c r="AZ204" s="12"/>
      <c r="BA204" s="311"/>
      <c r="BB204" s="349" t="s">
        <v>643</v>
      </c>
      <c r="BC204" s="276" t="s">
        <v>136</v>
      </c>
      <c r="BD204" s="285">
        <f>(((O208+O209+O210+AA208+AA209+AA210+AL208+AL209+AL210+AW208+AW209+AW210)*AY208)*BD205)*BB207</f>
        <v>0</v>
      </c>
      <c r="BE204" s="12" t="s">
        <v>418</v>
      </c>
    </row>
    <row r="205" spans="1:59" ht="13.5" customHeight="1" x14ac:dyDescent="0.25">
      <c r="A205" s="145"/>
      <c r="B205" s="12"/>
      <c r="C205" s="117" t="s">
        <v>664</v>
      </c>
      <c r="D205" s="115"/>
      <c r="E205" s="13"/>
      <c r="F205" s="13" t="s">
        <v>42</v>
      </c>
      <c r="G205" s="13" t="s">
        <v>41</v>
      </c>
      <c r="H205" s="65" t="s">
        <v>77</v>
      </c>
      <c r="I205" s="150" t="s">
        <v>51</v>
      </c>
      <c r="J205" s="13" t="s">
        <v>110</v>
      </c>
      <c r="K205" s="13" t="s">
        <v>53</v>
      </c>
      <c r="L205" s="13" t="s">
        <v>82</v>
      </c>
      <c r="M205" s="13" t="s">
        <v>32</v>
      </c>
      <c r="N205" s="13" t="s">
        <v>69</v>
      </c>
      <c r="O205" s="12"/>
      <c r="P205" s="13" t="s">
        <v>72</v>
      </c>
      <c r="Q205" s="65" t="s">
        <v>80</v>
      </c>
      <c r="R205" s="62" t="s">
        <v>81</v>
      </c>
      <c r="S205" s="65" t="s">
        <v>77</v>
      </c>
      <c r="T205" s="674" t="s">
        <v>107</v>
      </c>
      <c r="U205" s="13" t="s">
        <v>78</v>
      </c>
      <c r="V205" s="13" t="s">
        <v>82</v>
      </c>
      <c r="W205" s="13" t="s">
        <v>33</v>
      </c>
      <c r="X205" s="13" t="s">
        <v>69</v>
      </c>
      <c r="Y205" s="12"/>
      <c r="Z205" s="12"/>
      <c r="AA205" s="12"/>
      <c r="AB205" s="13" t="s">
        <v>72</v>
      </c>
      <c r="AC205" s="13" t="s">
        <v>80</v>
      </c>
      <c r="AD205" s="62" t="s">
        <v>81</v>
      </c>
      <c r="AE205" s="65" t="s">
        <v>77</v>
      </c>
      <c r="AF205" s="151" t="s">
        <v>107</v>
      </c>
      <c r="AG205" s="13" t="s">
        <v>79</v>
      </c>
      <c r="AH205" s="13" t="s">
        <v>82</v>
      </c>
      <c r="AI205" s="13" t="s">
        <v>34</v>
      </c>
      <c r="AJ205" s="13" t="s">
        <v>69</v>
      </c>
      <c r="AK205" s="12"/>
      <c r="AL205" s="12"/>
      <c r="AM205" s="13" t="s">
        <v>72</v>
      </c>
      <c r="AN205" s="13" t="s">
        <v>80</v>
      </c>
      <c r="AO205" s="62" t="s">
        <v>81</v>
      </c>
      <c r="AP205" s="65" t="s">
        <v>77</v>
      </c>
      <c r="AQ205" s="151" t="s">
        <v>107</v>
      </c>
      <c r="AR205" s="13" t="s">
        <v>79</v>
      </c>
      <c r="AS205" s="13" t="s">
        <v>82</v>
      </c>
      <c r="AT205" s="13" t="s">
        <v>34</v>
      </c>
      <c r="AU205" s="13" t="s">
        <v>69</v>
      </c>
      <c r="AV205" s="20"/>
      <c r="AW205" s="20"/>
      <c r="AX205" s="20"/>
      <c r="AY205" s="20"/>
      <c r="AZ205" s="12"/>
      <c r="BA205" s="311"/>
      <c r="BB205" s="350" t="s">
        <v>644</v>
      </c>
      <c r="BC205" s="227" t="s">
        <v>582</v>
      </c>
      <c r="BD205" s="663">
        <f>IF(BD200&gt;0,1,0)</f>
        <v>0</v>
      </c>
      <c r="BE205" s="12"/>
    </row>
    <row r="206" spans="1:59" ht="13.5" customHeight="1" x14ac:dyDescent="0.25">
      <c r="A206" s="145"/>
      <c r="B206" s="12"/>
      <c r="C206" s="115"/>
      <c r="D206" s="115"/>
      <c r="E206" s="152">
        <f>BB$200</f>
        <v>0</v>
      </c>
      <c r="F206" s="19">
        <f>IF($D$4=2024,1,0)</f>
        <v>0</v>
      </c>
      <c r="G206" s="178">
        <f>IF($B210="Yes",$C$5,$I209)</f>
        <v>12</v>
      </c>
      <c r="H206" s="36">
        <f>VLOOKUP(H208,'Lookup Tables'!$A$22:$B$33,2,FALSE)</f>
        <v>3</v>
      </c>
      <c r="I206" s="192">
        <f>VLOOKUP($E$4,'Lookup Tables'!$AB$46:$AN$58,MATCH($H206,'Lookup Tables'!$AB$46:$AN$46),FALSE)</f>
        <v>12</v>
      </c>
      <c r="J206" s="19">
        <f>12-I206</f>
        <v>0</v>
      </c>
      <c r="K206" s="19">
        <f>IF(G206&lt;J206,G206,J206)</f>
        <v>0</v>
      </c>
      <c r="L206" s="195">
        <f>IF(12-I206&gt;=1,1,0)</f>
        <v>0</v>
      </c>
      <c r="M206" s="20">
        <f>((('Rate Tables'!$D94*$E206)*PersonCalcYr2!$K206)*L206)*$F206</f>
        <v>0</v>
      </c>
      <c r="N206" s="8">
        <f>G206-(J206*L206)</f>
        <v>12</v>
      </c>
      <c r="O206" s="12"/>
      <c r="P206" s="8">
        <f>IF(N206&lt;0,N206*0,1)*N206</f>
        <v>12</v>
      </c>
      <c r="Q206" s="120">
        <f>VLOOKUP($H208,'Lookup Tables'!$A$22:$B$33,2,FALSE)+(K206*L206)</f>
        <v>3</v>
      </c>
      <c r="R206" s="121" t="str">
        <f>VLOOKUP(Q206,'Lookup Tables'!$A$38:$B$151,2,FALSE)</f>
        <v>Sept</v>
      </c>
      <c r="S206" s="36">
        <f>VLOOKUP(R206,'Lookup Tables'!$A$22:$B$33,2,FALSE)</f>
        <v>3</v>
      </c>
      <c r="T206" s="672">
        <f>VLOOKUP($E$4,'Lookup Tables'!$AQ$46:$BC$58,MATCH(PersonCalcYr2!$S206,'Lookup Tables'!$AQ$46:$BC$46),FALSE)</f>
        <v>10</v>
      </c>
      <c r="U206" s="19">
        <f>IF(P206&lt;T206,P206,T206)</f>
        <v>10</v>
      </c>
      <c r="V206" s="119">
        <f>IF((U206)&lt;=0,0,1)</f>
        <v>1</v>
      </c>
      <c r="W206" s="20">
        <f>(('Rate Tables'!$E94*$E206)*PersonCalcYr2!$U206)*$V206*$F206</f>
        <v>0</v>
      </c>
      <c r="X206" s="8">
        <f>P206-(U206*V206)</f>
        <v>2</v>
      </c>
      <c r="Y206" s="12"/>
      <c r="Z206" s="12"/>
      <c r="AA206" s="12"/>
      <c r="AB206" s="19">
        <f>X206</f>
        <v>2</v>
      </c>
      <c r="AC206" s="123">
        <f>AC180</f>
        <v>13</v>
      </c>
      <c r="AD206" s="121" t="str">
        <f>VLOOKUP(AC206,'Lookup Tables'!$A$38:$B$151,2,FALSE)</f>
        <v>July</v>
      </c>
      <c r="AE206" s="36">
        <f>VLOOKUP(AD206,'Lookup Tables'!$A$22:$B$33,2,FALSE)</f>
        <v>1</v>
      </c>
      <c r="AF206" s="87">
        <f>VLOOKUP($AE206,'Lookup Tables'!$AC$3:$AW$16,MATCH(PersonCalcYr2!$AB206,'Lookup Tables'!$AC$3:$AW$3),FALSE)</f>
        <v>2</v>
      </c>
      <c r="AG206" s="19">
        <f>IF(AB206&lt;AF206,AB206,AF206)</f>
        <v>2</v>
      </c>
      <c r="AH206" s="119">
        <f>IF((AG206)&lt;=0,0,1)</f>
        <v>1</v>
      </c>
      <c r="AI206" s="20">
        <f>(('Rate Tables'!$F94*$E206)*PersonCalcYr2!AG206)*AH206*$F206</f>
        <v>0</v>
      </c>
      <c r="AJ206" s="8">
        <f>AB206-(AG206*AH206)</f>
        <v>0</v>
      </c>
      <c r="AK206" s="12"/>
      <c r="AL206" s="12"/>
      <c r="AM206" s="19">
        <f>AJ206</f>
        <v>0</v>
      </c>
      <c r="AN206" s="123">
        <f>AN180</f>
        <v>3</v>
      </c>
      <c r="AO206" s="121" t="str">
        <f>VLOOKUP(AN206,'Lookup Tables'!$A$38:$B$151,2,FALSE)</f>
        <v>Sept</v>
      </c>
      <c r="AP206" s="36">
        <f>VLOOKUP(AO206,'Lookup Tables'!$A$22:$B$33,2,FALSE)</f>
        <v>3</v>
      </c>
      <c r="AQ206" s="87">
        <f>VLOOKUP($AP206,'Lookup Tables'!$AC$3:$AW$16,MATCH(PersonCalcYr2!$AM206,'Lookup Tables'!$AC$3:$AW$3),FALSE)</f>
        <v>0</v>
      </c>
      <c r="AR206" s="19">
        <f>IF(AM206&lt;AQ206,AM206,AQ206)</f>
        <v>0</v>
      </c>
      <c r="AS206" s="119">
        <f>IF((AR206)&lt;=0,0,1)</f>
        <v>0</v>
      </c>
      <c r="AT206" s="20">
        <f>(('Rate Tables'!$G94*$E206)*PersonCalcYr2!AR206)*AS206*$F206</f>
        <v>0</v>
      </c>
      <c r="AU206" s="8">
        <f>AM206-(AR206*AS206)</f>
        <v>0</v>
      </c>
      <c r="AV206" s="20"/>
      <c r="AW206" s="20"/>
      <c r="AX206" s="20"/>
      <c r="AY206" s="20"/>
      <c r="AZ206" s="12"/>
      <c r="BA206" s="311"/>
      <c r="BB206" s="358" t="str">
        <f>IF(BB200=50%,"no",Personnel!O70)</f>
        <v>No</v>
      </c>
      <c r="BC206" s="276"/>
      <c r="BD206" s="285"/>
      <c r="BE206" s="12"/>
    </row>
    <row r="207" spans="1:59" ht="13.5" customHeight="1" x14ac:dyDescent="0.25">
      <c r="A207" s="145"/>
      <c r="B207" s="12" t="s">
        <v>127</v>
      </c>
      <c r="C207" s="12"/>
      <c r="D207" s="12"/>
      <c r="E207" s="12"/>
      <c r="F207" s="12"/>
      <c r="G207" s="12"/>
      <c r="H207" s="12"/>
      <c r="I207" s="12"/>
      <c r="J207" s="12"/>
      <c r="K207" s="12"/>
      <c r="L207" s="13"/>
      <c r="M207" s="13" t="s">
        <v>129</v>
      </c>
      <c r="N207" s="13" t="s">
        <v>128</v>
      </c>
      <c r="O207" s="153" t="s">
        <v>130</v>
      </c>
      <c r="P207" s="12"/>
      <c r="Q207" s="12"/>
      <c r="R207" s="12"/>
      <c r="S207" s="12"/>
      <c r="T207" s="12"/>
      <c r="U207" s="12"/>
      <c r="V207" s="12"/>
      <c r="W207" s="12"/>
      <c r="X207" s="12"/>
      <c r="Y207" s="13" t="s">
        <v>129</v>
      </c>
      <c r="Z207" s="13" t="s">
        <v>128</v>
      </c>
      <c r="AA207" s="153" t="s">
        <v>130</v>
      </c>
      <c r="AB207" s="12"/>
      <c r="AC207" s="12"/>
      <c r="AD207" s="12"/>
      <c r="AE207" s="12"/>
      <c r="AF207" s="12"/>
      <c r="AG207" s="12"/>
      <c r="AH207" s="12"/>
      <c r="AI207" s="12"/>
      <c r="AJ207" s="13" t="s">
        <v>129</v>
      </c>
      <c r="AK207" s="13" t="s">
        <v>128</v>
      </c>
      <c r="AL207" s="153" t="s">
        <v>130</v>
      </c>
      <c r="AN207" s="13"/>
      <c r="AO207" s="13"/>
      <c r="AP207" s="13"/>
      <c r="AQ207" s="13"/>
      <c r="AR207" s="13"/>
      <c r="AS207" s="13"/>
      <c r="AT207" s="13"/>
      <c r="AU207" s="13" t="s">
        <v>129</v>
      </c>
      <c r="AV207" s="13" t="s">
        <v>128</v>
      </c>
      <c r="AW207" s="153" t="s">
        <v>130</v>
      </c>
      <c r="AX207" s="13"/>
      <c r="AY207" s="13" t="s">
        <v>159</v>
      </c>
      <c r="AZ207" s="12"/>
      <c r="BA207" s="227"/>
      <c r="BB207" s="349">
        <f>IF(BB206="yes",0.5,1)</f>
        <v>1</v>
      </c>
      <c r="BC207" s="12"/>
      <c r="BD207" s="285"/>
      <c r="BE207" s="372">
        <f>VLOOKUP('F&amp;ARatesCalc'!$B$1,'F&amp;ARatesCalc'!$A$3:$B$5,2,FALSE)</f>
        <v>0.56999999999999995</v>
      </c>
    </row>
    <row r="208" spans="1:59" ht="13.5" customHeight="1" x14ac:dyDescent="0.25">
      <c r="A208" s="145"/>
      <c r="B208" s="12"/>
      <c r="C208" s="12"/>
      <c r="D208" s="12"/>
      <c r="E208" s="12"/>
      <c r="F208" s="12"/>
      <c r="G208" s="178" t="s">
        <v>430</v>
      </c>
      <c r="H208" s="178" t="str">
        <f>IF(B210="yes",$C$4,A212)</f>
        <v>Sept</v>
      </c>
      <c r="I208" s="12"/>
      <c r="J208" s="12"/>
      <c r="K208" s="12"/>
      <c r="L208" s="12"/>
      <c r="M208" s="129">
        <f>'Rate Tables'!$P$17</f>
        <v>910</v>
      </c>
      <c r="N208" s="146">
        <f>(K202*L202)*F202</f>
        <v>0</v>
      </c>
      <c r="O208" s="125">
        <f>M208*N208</f>
        <v>0</v>
      </c>
      <c r="P208" s="12"/>
      <c r="Q208" s="12"/>
      <c r="R208" s="12"/>
      <c r="S208" s="12"/>
      <c r="T208" s="12"/>
      <c r="U208" s="12"/>
      <c r="V208" s="12"/>
      <c r="W208" s="12"/>
      <c r="X208" s="12"/>
      <c r="Y208" s="129">
        <f>'Rate Tables'!$P$18</f>
        <v>910</v>
      </c>
      <c r="Z208" s="146">
        <f>U202*V202*F202</f>
        <v>0</v>
      </c>
      <c r="AA208" s="125">
        <f>Y208*Z208</f>
        <v>0</v>
      </c>
      <c r="AB208" s="12"/>
      <c r="AC208" s="12"/>
      <c r="AD208" s="12"/>
      <c r="AE208" s="12"/>
      <c r="AF208" s="12"/>
      <c r="AG208" s="12"/>
      <c r="AH208" s="12"/>
      <c r="AI208" s="12"/>
      <c r="AJ208" s="129">
        <f>'Rate Tables'!$P$19</f>
        <v>910</v>
      </c>
      <c r="AK208" s="146">
        <f>AG202*AH202*F202</f>
        <v>0</v>
      </c>
      <c r="AL208" s="125">
        <f>AJ208*AK208</f>
        <v>0</v>
      </c>
      <c r="AN208" s="19"/>
      <c r="AO208" s="19"/>
      <c r="AP208" s="19"/>
      <c r="AQ208" s="19"/>
      <c r="AR208" s="19"/>
      <c r="AS208" s="19"/>
      <c r="AT208" s="19"/>
      <c r="AU208" s="129">
        <f>'Rate Tables'!$P$20</f>
        <v>928.2</v>
      </c>
      <c r="AV208" s="146">
        <f>AR202*AS202*F202</f>
        <v>0</v>
      </c>
      <c r="AW208" s="125">
        <f>AU208*AV208</f>
        <v>0</v>
      </c>
      <c r="AX208" s="19"/>
      <c r="AY208" s="19">
        <f>VLOOKUP(B172,'Lookup Tables'!$AK$22:$AM$24,3,0)</f>
        <v>1</v>
      </c>
      <c r="AZ208" s="12"/>
      <c r="BA208" s="307"/>
      <c r="BB208" s="125"/>
      <c r="BC208" s="12"/>
      <c r="BD208" s="285"/>
      <c r="BE208" s="12" t="s">
        <v>417</v>
      </c>
    </row>
    <row r="209" spans="1:59" ht="13.5" customHeight="1" x14ac:dyDescent="0.25">
      <c r="A209" s="145"/>
      <c r="B209" s="12"/>
      <c r="C209" s="12"/>
      <c r="D209" s="12"/>
      <c r="E209" s="12"/>
      <c r="F209" s="12"/>
      <c r="G209" s="491" t="s">
        <v>555</v>
      </c>
      <c r="H209" s="11">
        <f>IF(H212&lt;$C$5,H212,$C$5)</f>
        <v>12</v>
      </c>
      <c r="I209" s="178">
        <f>IF(B212&lt;=H212,B212,H212)</f>
        <v>0</v>
      </c>
      <c r="J209" s="12"/>
      <c r="K209" s="12"/>
      <c r="L209" s="12"/>
      <c r="M209" s="129">
        <f>'Rate Tables'!$P$18</f>
        <v>910</v>
      </c>
      <c r="N209" s="146">
        <f>K204*L204*F204</f>
        <v>0</v>
      </c>
      <c r="O209" s="154">
        <f>M209*N209</f>
        <v>0</v>
      </c>
      <c r="P209" s="12"/>
      <c r="Q209" s="12"/>
      <c r="R209" s="12"/>
      <c r="S209" s="12"/>
      <c r="T209" s="12"/>
      <c r="U209" s="12"/>
      <c r="V209" s="12"/>
      <c r="W209" s="12"/>
      <c r="X209" s="12"/>
      <c r="Y209" s="129">
        <f>'Rate Tables'!$P$19</f>
        <v>910</v>
      </c>
      <c r="Z209" s="146">
        <f>U204*V204*F204</f>
        <v>10</v>
      </c>
      <c r="AA209" s="125">
        <f>Y209*Z209</f>
        <v>9100</v>
      </c>
      <c r="AB209" s="12"/>
      <c r="AC209" s="12"/>
      <c r="AD209" s="12"/>
      <c r="AE209" s="12"/>
      <c r="AF209" s="12"/>
      <c r="AG209" s="12"/>
      <c r="AH209" s="12"/>
      <c r="AI209" s="12"/>
      <c r="AJ209" s="129">
        <f>'Rate Tables'!$P$20</f>
        <v>928.2</v>
      </c>
      <c r="AK209" s="146">
        <f>AG204*AH204*F204</f>
        <v>2</v>
      </c>
      <c r="AL209" s="125">
        <f>AJ209*AK209</f>
        <v>1856.4</v>
      </c>
      <c r="AN209" s="12"/>
      <c r="AO209" s="12"/>
      <c r="AP209" s="12"/>
      <c r="AQ209" s="12"/>
      <c r="AR209" s="12"/>
      <c r="AS209" s="12"/>
      <c r="AT209" s="12"/>
      <c r="AU209" s="129">
        <f>'Rate Tables'!$P$21</f>
        <v>946.76</v>
      </c>
      <c r="AV209" s="146">
        <f>AR204*AS204*F204</f>
        <v>0</v>
      </c>
      <c r="AW209" s="125">
        <f>AU209*AV209</f>
        <v>0</v>
      </c>
      <c r="AX209" s="12"/>
      <c r="AY209" s="12" t="s">
        <v>244</v>
      </c>
      <c r="AZ209" s="12"/>
      <c r="BA209" s="307"/>
      <c r="BB209" s="12"/>
      <c r="BC209" s="12"/>
      <c r="BD209" s="285"/>
      <c r="BE209" s="12">
        <f>(BD210+BD211)*BE207</f>
        <v>0</v>
      </c>
    </row>
    <row r="210" spans="1:59" ht="13.5" customHeight="1" x14ac:dyDescent="0.25">
      <c r="A210" s="377" t="s">
        <v>431</v>
      </c>
      <c r="B210" s="375" t="str">
        <f>Personnel!M66</f>
        <v>YES</v>
      </c>
      <c r="C210" s="12"/>
      <c r="D210" s="12"/>
      <c r="E210" s="12"/>
      <c r="F210" s="12"/>
      <c r="G210" s="491" t="s">
        <v>559</v>
      </c>
      <c r="H210" s="12">
        <f>BA189</f>
        <v>0</v>
      </c>
      <c r="I210" s="12"/>
      <c r="J210" s="12"/>
      <c r="K210" s="12"/>
      <c r="L210" s="12"/>
      <c r="M210" s="129">
        <f>'Rate Tables'!$P$19</f>
        <v>910</v>
      </c>
      <c r="N210" s="146">
        <f>K206*L206*F206</f>
        <v>0</v>
      </c>
      <c r="O210" s="154">
        <f>M210*N210</f>
        <v>0</v>
      </c>
      <c r="P210" s="12"/>
      <c r="Q210" s="12"/>
      <c r="R210" s="12"/>
      <c r="S210" s="12"/>
      <c r="T210" s="12"/>
      <c r="U210" s="12"/>
      <c r="V210" s="12"/>
      <c r="W210" s="12"/>
      <c r="X210" s="12"/>
      <c r="Y210" s="129">
        <f>'Rate Tables'!$P$20</f>
        <v>928.2</v>
      </c>
      <c r="Z210" s="146">
        <f>U206*V206*F206</f>
        <v>0</v>
      </c>
      <c r="AA210" s="125">
        <f>Y210*Z210</f>
        <v>0</v>
      </c>
      <c r="AB210" s="12"/>
      <c r="AC210" s="12"/>
      <c r="AD210" s="12"/>
      <c r="AE210" s="12"/>
      <c r="AF210" s="12"/>
      <c r="AG210" s="12"/>
      <c r="AH210" s="12"/>
      <c r="AI210" s="12"/>
      <c r="AJ210" s="129">
        <f>'Rate Tables'!$P$21</f>
        <v>946.76</v>
      </c>
      <c r="AK210" s="146">
        <f>AG206*AH206*F206</f>
        <v>0</v>
      </c>
      <c r="AL210" s="125">
        <f>AJ210*AK210</f>
        <v>0</v>
      </c>
      <c r="AN210" s="12"/>
      <c r="AO210" s="12"/>
      <c r="AP210" s="12"/>
      <c r="AQ210" s="12"/>
      <c r="AR210" s="12"/>
      <c r="AS210" s="12"/>
      <c r="AT210" s="12"/>
      <c r="AU210" s="129">
        <f>'Rate Tables'!$P$22</f>
        <v>965.7</v>
      </c>
      <c r="AV210" s="146">
        <f>AR206*AS206*F206</f>
        <v>0</v>
      </c>
      <c r="AW210" s="125">
        <f>AU210*AV210</f>
        <v>0</v>
      </c>
      <c r="AX210" s="12"/>
      <c r="AY210" s="12">
        <f>IF(BD210&gt;=1,1,0)</f>
        <v>0</v>
      </c>
      <c r="AZ210" s="12"/>
      <c r="BA210" s="227"/>
      <c r="BB210" s="226"/>
      <c r="BC210" s="278" t="s">
        <v>96</v>
      </c>
      <c r="BD210" s="285">
        <f>BD174+BD187+BD200</f>
        <v>0</v>
      </c>
      <c r="BE210" s="15"/>
      <c r="BG210" s="313"/>
    </row>
    <row r="211" spans="1:59" ht="11.25" customHeight="1" thickBot="1" x14ac:dyDescent="0.3">
      <c r="A211" s="296" t="s">
        <v>439</v>
      </c>
      <c r="B211" s="114" t="s">
        <v>427</v>
      </c>
      <c r="C211" s="12"/>
      <c r="D211" s="12"/>
      <c r="E211" s="12"/>
      <c r="F211" s="12"/>
      <c r="G211" s="491" t="s">
        <v>560</v>
      </c>
      <c r="H211" s="178">
        <f>VLOOKUP(H202,'Lookup Tables'!$L$62:$Y$74,MATCH(G202,'Lookup Tables'!$L$62:$Y$62,FALSE))</f>
        <v>65</v>
      </c>
      <c r="I211" s="12"/>
      <c r="J211" s="12"/>
      <c r="K211" s="12"/>
      <c r="L211" s="12"/>
      <c r="M211" s="12"/>
      <c r="N211" s="12"/>
      <c r="O211" s="155"/>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227"/>
      <c r="BB211" s="224"/>
      <c r="BC211" s="278" t="s">
        <v>415</v>
      </c>
      <c r="BD211" s="285">
        <f>BD176+BD188+BD202</f>
        <v>0</v>
      </c>
      <c r="BE211" s="15"/>
      <c r="BG211" s="313"/>
    </row>
    <row r="212" spans="1:59" ht="13.5" customHeight="1" thickBot="1" x14ac:dyDescent="0.3">
      <c r="A212" s="380">
        <f>Personnel!M67</f>
        <v>0</v>
      </c>
      <c r="B212" s="273">
        <f>Personnel!M68</f>
        <v>0</v>
      </c>
      <c r="C212" s="12"/>
      <c r="D212" s="12"/>
      <c r="E212" s="12"/>
      <c r="F212" s="12"/>
      <c r="G212" s="12"/>
      <c r="H212" s="175">
        <f>VLOOKUP($E$4,'Lookup Tables'!$L$46:$AA$58,MATCH($H$176,'Lookup Tables'!$L$46:$X$46),FALSE)</f>
        <v>12</v>
      </c>
      <c r="I212" s="12"/>
      <c r="J212" s="12"/>
      <c r="K212" s="12"/>
      <c r="L212" s="12"/>
      <c r="M212" s="12"/>
      <c r="N212" s="12"/>
      <c r="O212" s="155"/>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227"/>
      <c r="BB212" s="224"/>
      <c r="BC212" s="278" t="s">
        <v>185</v>
      </c>
      <c r="BD212" s="285">
        <f>(BD178+BD190+BD204)*AY210</f>
        <v>0</v>
      </c>
      <c r="BE212" s="373">
        <f>BD210+BD211+BD212+BE209</f>
        <v>0</v>
      </c>
      <c r="BG212" s="313"/>
    </row>
    <row r="213" spans="1:59" ht="6.75" customHeight="1" thickBot="1" x14ac:dyDescent="0.3">
      <c r="A213" s="148"/>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49"/>
      <c r="AL213" s="149"/>
      <c r="AM213" s="149"/>
      <c r="AN213" s="149"/>
      <c r="AO213" s="149"/>
      <c r="AP213" s="149"/>
      <c r="AQ213" s="149"/>
      <c r="AR213" s="149"/>
      <c r="AS213" s="149"/>
      <c r="AT213" s="149"/>
      <c r="AU213" s="149"/>
      <c r="AV213" s="149"/>
      <c r="AW213" s="149"/>
      <c r="AX213" s="149"/>
      <c r="AY213" s="149"/>
      <c r="AZ213" s="149"/>
      <c r="BA213" s="280"/>
      <c r="BB213" s="149"/>
      <c r="BC213" s="149"/>
      <c r="BD213" s="281"/>
      <c r="BE213" s="374"/>
    </row>
    <row r="214" spans="1:59" ht="13.5" customHeight="1" x14ac:dyDescent="0.25">
      <c r="A214" s="257" t="s">
        <v>195</v>
      </c>
      <c r="B214" s="359" t="str">
        <f>Personnel!C74</f>
        <v>12 Month</v>
      </c>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144"/>
      <c r="AM214" s="144"/>
      <c r="AN214" s="144"/>
      <c r="AO214" s="144"/>
      <c r="AP214" s="144"/>
      <c r="AQ214" s="144"/>
      <c r="AR214" s="144"/>
      <c r="AS214" s="144"/>
      <c r="AT214" s="144"/>
      <c r="AU214" s="144"/>
      <c r="AV214" s="144"/>
      <c r="AW214" s="144"/>
      <c r="AX214" s="144"/>
      <c r="AY214" s="144"/>
      <c r="AZ214" s="144"/>
      <c r="BA214" s="282"/>
      <c r="BB214" s="144"/>
      <c r="BC214" s="144"/>
      <c r="BD214" s="283"/>
      <c r="BE214" s="12"/>
    </row>
    <row r="215" spans="1:59" ht="13.5" customHeight="1" x14ac:dyDescent="0.25">
      <c r="A215" s="258" t="s">
        <v>174</v>
      </c>
      <c r="B215" s="155" t="s">
        <v>12</v>
      </c>
      <c r="C215" s="259" t="s">
        <v>605</v>
      </c>
      <c r="D215" s="12"/>
      <c r="E215" s="12"/>
      <c r="F215" s="12"/>
      <c r="G215" s="12" t="s">
        <v>182</v>
      </c>
      <c r="H215" s="12"/>
      <c r="I215" s="12"/>
      <c r="J215" s="12"/>
      <c r="K215" s="12"/>
      <c r="L215" s="12"/>
      <c r="M215" s="12" t="s">
        <v>167</v>
      </c>
      <c r="N215" s="12"/>
      <c r="O215" s="12">
        <v>21</v>
      </c>
      <c r="P215" s="12"/>
      <c r="Q215" s="12"/>
      <c r="R215" s="12"/>
      <c r="S215" s="12"/>
      <c r="T215" s="12"/>
      <c r="U215" s="12"/>
      <c r="V215" s="12"/>
      <c r="W215" s="12"/>
      <c r="X215" s="12"/>
      <c r="Y215" s="12" t="s">
        <v>168</v>
      </c>
      <c r="Z215" s="12"/>
      <c r="AA215" s="12">
        <v>22</v>
      </c>
      <c r="AB215" s="12"/>
      <c r="AC215" s="12"/>
      <c r="AD215" s="12"/>
      <c r="AE215" s="12"/>
      <c r="AF215" s="12"/>
      <c r="AG215" s="12"/>
      <c r="AH215" s="12"/>
      <c r="AI215" s="12"/>
      <c r="AJ215" s="12" t="s">
        <v>169</v>
      </c>
      <c r="AK215" s="12"/>
      <c r="AL215" s="12">
        <v>23</v>
      </c>
      <c r="AM215" s="12"/>
      <c r="AN215" s="12"/>
      <c r="AO215" s="12"/>
      <c r="AP215" s="12"/>
      <c r="AQ215" s="12"/>
      <c r="AR215" s="12"/>
      <c r="AS215" s="12"/>
      <c r="AT215" s="12"/>
      <c r="AU215" s="12"/>
      <c r="AV215" s="12"/>
      <c r="AW215" s="12"/>
      <c r="AX215" s="12"/>
      <c r="AY215" s="12"/>
      <c r="AZ215" s="12"/>
      <c r="BA215" s="227"/>
      <c r="BB215" s="12"/>
      <c r="BC215" s="12"/>
      <c r="BD215" s="275"/>
      <c r="BE215" s="12"/>
    </row>
    <row r="216" spans="1:59" ht="13.5" customHeight="1" x14ac:dyDescent="0.25">
      <c r="A216" s="356">
        <f>Personnel!C75</f>
        <v>0</v>
      </c>
      <c r="B216" s="357">
        <f>Personnel!C76</f>
        <v>0</v>
      </c>
      <c r="C216" s="115">
        <f>(B216*9)*2</f>
        <v>0</v>
      </c>
      <c r="D216" s="12"/>
      <c r="E216" s="12"/>
      <c r="F216" s="12"/>
      <c r="G216" s="12"/>
      <c r="H216" s="12"/>
      <c r="I216" s="12"/>
      <c r="J216" s="12"/>
      <c r="K216" s="12"/>
      <c r="L216" s="12"/>
      <c r="M216" s="12"/>
      <c r="N216" s="12"/>
      <c r="O216" s="12">
        <v>22</v>
      </c>
      <c r="P216" s="12"/>
      <c r="Q216" s="12"/>
      <c r="R216" s="12"/>
      <c r="S216" s="12"/>
      <c r="T216" s="12"/>
      <c r="U216" s="12"/>
      <c r="V216" s="12"/>
      <c r="W216" s="12"/>
      <c r="X216" s="12"/>
      <c r="Y216" s="12"/>
      <c r="Z216" s="12"/>
      <c r="AA216" s="12">
        <v>23</v>
      </c>
      <c r="AB216" s="12"/>
      <c r="AC216" s="12"/>
      <c r="AD216" s="12"/>
      <c r="AE216" s="12"/>
      <c r="AF216" s="12"/>
      <c r="AG216" s="12"/>
      <c r="AH216" s="12"/>
      <c r="AI216" s="12"/>
      <c r="AJ216" s="12"/>
      <c r="AK216" s="12"/>
      <c r="AL216" s="12">
        <v>24</v>
      </c>
      <c r="AM216" s="12"/>
      <c r="AN216" s="12"/>
      <c r="AO216" s="12"/>
      <c r="AP216" s="12"/>
      <c r="AQ216" s="12"/>
      <c r="AR216" s="12"/>
      <c r="AS216" s="12"/>
      <c r="AT216" s="12"/>
      <c r="AU216" s="12"/>
      <c r="AV216" s="12"/>
      <c r="AW216" s="12"/>
      <c r="AX216" s="12"/>
      <c r="AY216" s="12"/>
      <c r="AZ216" s="12"/>
      <c r="BA216" s="306" t="s">
        <v>412</v>
      </c>
      <c r="BB216" s="348">
        <f>Personnel!O75</f>
        <v>0</v>
      </c>
      <c r="BC216" s="276" t="s">
        <v>414</v>
      </c>
      <c r="BD216" s="285">
        <f>(N218+Z218+AK218+AV218+N220+Z220+AK220+AV220+N222+Z222+AK222+AV222)*AY218</f>
        <v>0</v>
      </c>
      <c r="BE216" s="15"/>
    </row>
    <row r="217" spans="1:59" ht="13.5" customHeight="1" x14ac:dyDescent="0.25">
      <c r="A217" s="145"/>
      <c r="B217" s="12"/>
      <c r="C217" s="117" t="s">
        <v>30</v>
      </c>
      <c r="D217" s="12"/>
      <c r="E217" s="13" t="s">
        <v>16</v>
      </c>
      <c r="F217" s="13" t="s">
        <v>42</v>
      </c>
      <c r="G217" s="13" t="s">
        <v>41</v>
      </c>
      <c r="H217" s="65" t="s">
        <v>77</v>
      </c>
      <c r="I217" s="64" t="s">
        <v>90</v>
      </c>
      <c r="J217" s="63" t="s">
        <v>70</v>
      </c>
      <c r="K217" s="52" t="s">
        <v>93</v>
      </c>
      <c r="L217" s="13" t="s">
        <v>35</v>
      </c>
      <c r="M217" s="13" t="s">
        <v>82</v>
      </c>
      <c r="N217" s="13" t="s">
        <v>31</v>
      </c>
      <c r="O217" s="14" t="s">
        <v>69</v>
      </c>
      <c r="P217" s="13" t="s">
        <v>72</v>
      </c>
      <c r="Q217" s="65" t="s">
        <v>80</v>
      </c>
      <c r="R217" s="62" t="s">
        <v>81</v>
      </c>
      <c r="S217" s="65" t="s">
        <v>77</v>
      </c>
      <c r="T217" s="600" t="s">
        <v>83</v>
      </c>
      <c r="U217" s="63" t="s">
        <v>70</v>
      </c>
      <c r="V217" s="13" t="s">
        <v>91</v>
      </c>
      <c r="W217" s="13" t="s">
        <v>43</v>
      </c>
      <c r="X217" s="13" t="s">
        <v>53</v>
      </c>
      <c r="Y217" s="13" t="s">
        <v>68</v>
      </c>
      <c r="Z217" s="13" t="s">
        <v>32</v>
      </c>
      <c r="AA217" s="14" t="s">
        <v>69</v>
      </c>
      <c r="AB217" s="13" t="s">
        <v>72</v>
      </c>
      <c r="AC217" s="13" t="s">
        <v>80</v>
      </c>
      <c r="AD217" s="62" t="s">
        <v>81</v>
      </c>
      <c r="AE217" s="65" t="s">
        <v>77</v>
      </c>
      <c r="AF217" s="63" t="s">
        <v>70</v>
      </c>
      <c r="AG217" s="13" t="s">
        <v>92</v>
      </c>
      <c r="AH217" s="13" t="s">
        <v>44</v>
      </c>
      <c r="AI217" s="13" t="s">
        <v>78</v>
      </c>
      <c r="AJ217" s="13" t="s">
        <v>68</v>
      </c>
      <c r="AK217" s="13" t="s">
        <v>33</v>
      </c>
      <c r="AL217" s="14" t="s">
        <v>69</v>
      </c>
      <c r="AM217" s="13" t="s">
        <v>72</v>
      </c>
      <c r="AN217" s="13" t="s">
        <v>80</v>
      </c>
      <c r="AO217" s="62" t="s">
        <v>81</v>
      </c>
      <c r="AP217" s="65" t="s">
        <v>77</v>
      </c>
      <c r="AQ217" s="63" t="s">
        <v>70</v>
      </c>
      <c r="AR217" s="13" t="s">
        <v>92</v>
      </c>
      <c r="AS217" s="13" t="s">
        <v>44</v>
      </c>
      <c r="AT217" s="13" t="s">
        <v>78</v>
      </c>
      <c r="AU217" s="13" t="s">
        <v>68</v>
      </c>
      <c r="AV217" s="13" t="s">
        <v>33</v>
      </c>
      <c r="AW217" s="14" t="s">
        <v>69</v>
      </c>
      <c r="AX217" s="13"/>
      <c r="AY217" s="13" t="s">
        <v>159</v>
      </c>
      <c r="AZ217" s="12"/>
      <c r="BA217" s="227"/>
      <c r="BB217" s="349"/>
      <c r="BC217" s="227"/>
      <c r="BD217" s="285"/>
      <c r="BE217" s="15"/>
    </row>
    <row r="218" spans="1:59" ht="13.5" customHeight="1" x14ac:dyDescent="0.25">
      <c r="A218" s="145"/>
      <c r="B218" s="12"/>
      <c r="C218" s="115"/>
      <c r="D218" s="12"/>
      <c r="E218" s="118">
        <f>BB216</f>
        <v>0</v>
      </c>
      <c r="F218" s="19">
        <f>IF($D$4=2022,1,0)</f>
        <v>0</v>
      </c>
      <c r="G218" s="178">
        <f>IF($B252="Yes",$C$5,$I251)</f>
        <v>12</v>
      </c>
      <c r="H218" s="36">
        <f>VLOOKUP(H250,'Lookup Tables'!$A$22:$B$33,2,FALSE)</f>
        <v>3</v>
      </c>
      <c r="I218" s="192">
        <f>VLOOKUP($E$4,'Lookup Tables'!$AB$46:$AN$58,MATCH($H218,'Lookup Tables'!$AB$46:$AN$46),FALSE)</f>
        <v>12</v>
      </c>
      <c r="J218" s="33">
        <f>VLOOKUP(H218,'Lookup Tables'!$A$3:$AA$16,MATCH(PersonCalcYr2!$G218,'Lookup Tables'!$A$3:$AA$3),FALSE)</f>
        <v>1.5161</v>
      </c>
      <c r="K218" s="54">
        <f>VLOOKUP($H250,'Lookup Tables'!$K$23:$L$34,2,FALSE)</f>
        <v>0</v>
      </c>
      <c r="L218" s="12">
        <f>IF(G218&lt;=K218,G218,K218)</f>
        <v>0</v>
      </c>
      <c r="M218" s="195">
        <f>IF(12-I218&gt;=1,1,0)</f>
        <v>0</v>
      </c>
      <c r="N218" s="15">
        <f>(('Rate Tables'!B77*PersonCalcYr2!E218)*PersonCalcYr2!L218)*PersonCalcYr2!F218*M218</f>
        <v>0</v>
      </c>
      <c r="O218" s="28">
        <f>G218-((J218+L218)*M218)</f>
        <v>12</v>
      </c>
      <c r="P218" s="8">
        <f>IF(O218&lt;0,O218*0,1)*O218</f>
        <v>12</v>
      </c>
      <c r="Q218" s="120">
        <f>VLOOKUP($H250,'Lookup Tables'!$A$22:$B$33,2,FALSE)+(L218*M218)+(J218*M218)</f>
        <v>3</v>
      </c>
      <c r="R218" s="121" t="str">
        <f>VLOOKUP(Q218,'Lookup Tables'!$A$38:$B$151,2,FALSE)</f>
        <v>Sept</v>
      </c>
      <c r="S218" s="36">
        <f>VLOOKUP(R218,'Lookup Tables'!$A$22:$B$33,2,FALSE)</f>
        <v>3</v>
      </c>
      <c r="T218" s="599">
        <f>VLOOKUP($E$4,'Lookup Tables'!$AB$63:$AN$75,MATCH(PersonCalcYr2!$S218,'Lookup Tables'!$AB$63:$AN$63),FALSE)</f>
        <v>0.5161</v>
      </c>
      <c r="U218" s="34">
        <f>VLOOKUP(S218,'Lookup Tables'!$A$3:$AA$16,MATCH(PersonCalcYr2!$P218,'Lookup Tables'!$A$3:$AA$3),FALSE)</f>
        <v>1.5161</v>
      </c>
      <c r="V218" s="12">
        <f>9-T218</f>
        <v>8.4839000000000002</v>
      </c>
      <c r="W218" s="122">
        <f>P218-U218</f>
        <v>10.4839</v>
      </c>
      <c r="X218" s="119">
        <f>IF(V218&lt;=W218,V218,W218)</f>
        <v>8.4839000000000002</v>
      </c>
      <c r="Y218" s="195">
        <f>IF(12-T218-U218-X218&gt;=0,1,0)</f>
        <v>1</v>
      </c>
      <c r="Z218" s="20">
        <f>((('Rate Tables'!C77*$E218)*PersonCalcYr2!$X218)*$F218)*Y218</f>
        <v>0</v>
      </c>
      <c r="AA218" s="197">
        <f>O218-(((U218*U224)+X218)*Y218)</f>
        <v>2</v>
      </c>
      <c r="AB218" s="8">
        <f>IF(AA218&lt;0,AA218*0,1)*AA218</f>
        <v>2</v>
      </c>
      <c r="AC218" s="601">
        <f>S218+(X218*Y218)+((U218*U224)*Y218)</f>
        <v>13</v>
      </c>
      <c r="AD218" s="121" t="str">
        <f>VLOOKUP(AC218,'Lookup Tables'!$A$38:$B$151,2,FALSE)</f>
        <v>July</v>
      </c>
      <c r="AE218" s="36">
        <f>VLOOKUP(AD218,'Lookup Tables'!$A$22:$B$33,2,FALSE)</f>
        <v>1</v>
      </c>
      <c r="AF218" s="34">
        <f>VLOOKUP(AE218,'Lookup Tables'!$A$3:$AA$16,MATCH(PersonCalcYr2!AB218,'Lookup Tables'!$A$3:$AA$3),FALSE)</f>
        <v>1.4839</v>
      </c>
      <c r="AG218" s="12">
        <v>9</v>
      </c>
      <c r="AH218" s="122">
        <f>AB218-AF218</f>
        <v>0.5161</v>
      </c>
      <c r="AI218" s="119">
        <f>IF(AG218&lt;=AH218,AG218,AH218)</f>
        <v>0.5161</v>
      </c>
      <c r="AJ218" s="119">
        <f>IF((AG218+AF218)&lt;=0,0,1)</f>
        <v>1</v>
      </c>
      <c r="AK218" s="124">
        <f>((('Rate Tables'!D77*$E218)*PersonCalcYr2!AI218)*$F218)*AJ218</f>
        <v>0</v>
      </c>
      <c r="AL218" s="28">
        <f>AB218-AF218-AI218</f>
        <v>0</v>
      </c>
      <c r="AM218" s="8">
        <f>IF(AL218&lt;0,AL218*0,1)*AL218</f>
        <v>0</v>
      </c>
      <c r="AN218" s="601">
        <f>AE218+(AI218*AJ218)+((AF218*AF224)*AJ218)</f>
        <v>3</v>
      </c>
      <c r="AO218" s="121" t="str">
        <f>VLOOKUP(AN218,'Lookup Tables'!$A$38:$B$151,2,FALSE)</f>
        <v>Sept</v>
      </c>
      <c r="AP218" s="36">
        <f>VLOOKUP(AO218,'Lookup Tables'!$A$22:$B$33,2,FALSE)</f>
        <v>3</v>
      </c>
      <c r="AQ218" s="34">
        <f>VLOOKUP(AP218,'Lookup Tables'!$A$3:$AA$16,MATCH(PersonCalcYr2!AM218,'Lookup Tables'!$A$3:$AA$3),FALSE)</f>
        <v>0</v>
      </c>
      <c r="AR218" s="12">
        <v>9</v>
      </c>
      <c r="AS218" s="122">
        <f>AM218-AQ218</f>
        <v>0</v>
      </c>
      <c r="AT218" s="119">
        <f>IF(AR218&lt;=AS218,AR218,AS218)</f>
        <v>0</v>
      </c>
      <c r="AU218" s="119">
        <f>IF((AR218+AQ218)&lt;=0,0,1)</f>
        <v>1</v>
      </c>
      <c r="AV218" s="124">
        <f>((('Rate Tables'!E77*$E218)*PersonCalcYr2!AT218)*$F218)*AU218</f>
        <v>0</v>
      </c>
      <c r="AW218" s="28">
        <f>AM218-AQ218-AT218</f>
        <v>0</v>
      </c>
      <c r="AX218" s="19"/>
      <c r="AY218" s="19">
        <f>VLOOKUP(B214,'Lookup Tables'!$AK$22:$AM$24,2,0)</f>
        <v>0</v>
      </c>
      <c r="AZ218" s="12"/>
      <c r="BA218" s="227"/>
      <c r="BB218" s="350"/>
      <c r="BC218" s="276" t="s">
        <v>184</v>
      </c>
      <c r="BD218" s="285">
        <f>BD216*'Rate Tables'!P$8</f>
        <v>0</v>
      </c>
      <c r="BE218" s="15"/>
    </row>
    <row r="219" spans="1:59" ht="13.5" customHeight="1" x14ac:dyDescent="0.25">
      <c r="A219" s="145"/>
      <c r="B219" s="12"/>
      <c r="C219" s="117" t="s">
        <v>597</v>
      </c>
      <c r="D219" s="12"/>
      <c r="E219" s="13" t="s">
        <v>16</v>
      </c>
      <c r="F219" s="13" t="s">
        <v>42</v>
      </c>
      <c r="G219" s="13" t="s">
        <v>41</v>
      </c>
      <c r="H219" s="65" t="s">
        <v>77</v>
      </c>
      <c r="I219" s="64" t="s">
        <v>90</v>
      </c>
      <c r="J219" s="63" t="s">
        <v>70</v>
      </c>
      <c r="K219" s="52" t="s">
        <v>109</v>
      </c>
      <c r="L219" s="13" t="s">
        <v>53</v>
      </c>
      <c r="M219" s="13" t="s">
        <v>82</v>
      </c>
      <c r="N219" s="13" t="s">
        <v>32</v>
      </c>
      <c r="O219" s="14" t="s">
        <v>69</v>
      </c>
      <c r="P219" s="13" t="s">
        <v>72</v>
      </c>
      <c r="Q219" s="65" t="s">
        <v>80</v>
      </c>
      <c r="R219" s="62" t="s">
        <v>81</v>
      </c>
      <c r="S219" s="65" t="s">
        <v>77</v>
      </c>
      <c r="T219" s="600" t="s">
        <v>83</v>
      </c>
      <c r="U219" s="63" t="s">
        <v>70</v>
      </c>
      <c r="V219" s="13" t="s">
        <v>92</v>
      </c>
      <c r="W219" s="13" t="s">
        <v>44</v>
      </c>
      <c r="X219" s="13" t="s">
        <v>78</v>
      </c>
      <c r="Y219" s="13" t="s">
        <v>68</v>
      </c>
      <c r="Z219" s="13" t="s">
        <v>33</v>
      </c>
      <c r="AA219" s="14" t="s">
        <v>69</v>
      </c>
      <c r="AB219" s="13" t="s">
        <v>72</v>
      </c>
      <c r="AC219" s="13" t="s">
        <v>80</v>
      </c>
      <c r="AD219" s="62" t="s">
        <v>81</v>
      </c>
      <c r="AE219" s="65" t="s">
        <v>77</v>
      </c>
      <c r="AF219" s="63" t="s">
        <v>70</v>
      </c>
      <c r="AG219" s="13" t="s">
        <v>94</v>
      </c>
      <c r="AH219" s="13" t="s">
        <v>45</v>
      </c>
      <c r="AI219" s="13" t="s">
        <v>79</v>
      </c>
      <c r="AJ219" s="13" t="s">
        <v>68</v>
      </c>
      <c r="AK219" s="13" t="s">
        <v>34</v>
      </c>
      <c r="AL219" s="14" t="s">
        <v>69</v>
      </c>
      <c r="AM219" s="13" t="s">
        <v>72</v>
      </c>
      <c r="AN219" s="13" t="s">
        <v>80</v>
      </c>
      <c r="AO219" s="62" t="s">
        <v>81</v>
      </c>
      <c r="AP219" s="65" t="s">
        <v>77</v>
      </c>
      <c r="AQ219" s="63" t="s">
        <v>70</v>
      </c>
      <c r="AR219" s="13" t="s">
        <v>94</v>
      </c>
      <c r="AS219" s="13" t="s">
        <v>45</v>
      </c>
      <c r="AT219" s="13" t="s">
        <v>79</v>
      </c>
      <c r="AU219" s="13" t="s">
        <v>68</v>
      </c>
      <c r="AV219" s="13" t="s">
        <v>34</v>
      </c>
      <c r="AW219" s="14" t="s">
        <v>69</v>
      </c>
      <c r="AX219" s="13"/>
      <c r="AY219" s="13"/>
      <c r="AZ219" s="12"/>
      <c r="BA219" s="227"/>
      <c r="BB219" s="351"/>
      <c r="BC219" s="227"/>
      <c r="BD219" s="285"/>
      <c r="BE219" s="15"/>
    </row>
    <row r="220" spans="1:59" ht="13.5" customHeight="1" x14ac:dyDescent="0.25">
      <c r="A220" s="145"/>
      <c r="B220" s="12"/>
      <c r="C220" s="115"/>
      <c r="D220" s="12"/>
      <c r="E220" s="118">
        <f>BB216</f>
        <v>0</v>
      </c>
      <c r="F220" s="19">
        <f>IF($D$4=2023,1,0)</f>
        <v>1</v>
      </c>
      <c r="G220" s="178">
        <f>IF($B252="Yes",$C$5,$I251)</f>
        <v>12</v>
      </c>
      <c r="H220" s="36">
        <f>VLOOKUP(H250,'Lookup Tables'!$A$22:$B$33,2,FALSE)</f>
        <v>3</v>
      </c>
      <c r="I220" s="192">
        <f>VLOOKUP($E$4,'Lookup Tables'!$AB$46:$AN$58,MATCH($H220,'Lookup Tables'!$AB$46:$AN$46),FALSE)</f>
        <v>12</v>
      </c>
      <c r="J220" s="33">
        <f>VLOOKUP(H220,'Lookup Tables'!$A$3:$AA$16,MATCH(PersonCalcYr2!$G220,'Lookup Tables'!$A$3:$AA$3),FALSE)</f>
        <v>1.5161</v>
      </c>
      <c r="K220" s="54">
        <f>VLOOKUP($H250,'Lookup Tables'!$K$23:$L$34,2,FALSE)</f>
        <v>0</v>
      </c>
      <c r="L220" s="12">
        <f>IF(G220&lt;=K220,G220,K220)</f>
        <v>0</v>
      </c>
      <c r="M220" s="195">
        <f>IF(12-I220&gt;=1,1,0)</f>
        <v>0</v>
      </c>
      <c r="N220" s="15">
        <f>(('Rate Tables'!C77*PersonCalcYr2!E220)*PersonCalcYr2!L220)*PersonCalcYr2!F220*M220</f>
        <v>0</v>
      </c>
      <c r="O220" s="28">
        <f>G220-((J220+L220)*M220)</f>
        <v>12</v>
      </c>
      <c r="P220" s="8">
        <f>IF(O220&lt;0,O220*0,1)*O220</f>
        <v>12</v>
      </c>
      <c r="Q220" s="120">
        <f>VLOOKUP($H250,'Lookup Tables'!$A$22:$B$33,2,FALSE)+(L220*M220)+(J220*M220)</f>
        <v>3</v>
      </c>
      <c r="R220" s="121" t="str">
        <f>VLOOKUP(Q220,'Lookup Tables'!$A$38:$B$151,2,FALSE)</f>
        <v>Sept</v>
      </c>
      <c r="S220" s="36">
        <f>VLOOKUP(R220,'Lookup Tables'!$A$22:$B$33,2,FALSE)</f>
        <v>3</v>
      </c>
      <c r="T220" s="599">
        <f>VLOOKUP($E$4,'Lookup Tables'!$AB$63:$AN$75,MATCH(PersonCalcYr2!$S220,'Lookup Tables'!$AB$63:$AN$63),FALSE)</f>
        <v>0.5161</v>
      </c>
      <c r="U220" s="34">
        <f>VLOOKUP(S220,'Lookup Tables'!$A$3:$AA$16,MATCH(PersonCalcYr2!$P220,'Lookup Tables'!$A$3:$AA$3),FALSE)</f>
        <v>1.5161</v>
      </c>
      <c r="V220" s="12">
        <f>9-T220</f>
        <v>8.4839000000000002</v>
      </c>
      <c r="W220" s="122">
        <f>P220-U220</f>
        <v>10.4839</v>
      </c>
      <c r="X220" s="119">
        <f>IF(V220&lt;=W220,V220,W220)</f>
        <v>8.4839000000000002</v>
      </c>
      <c r="Y220" s="195">
        <f>IF(12-T220-U220-X220&gt;=0,1,0)</f>
        <v>1</v>
      </c>
      <c r="Z220" s="20">
        <f>((('Rate Tables'!D77*$E220)*PersonCalcYr2!$X220)*$F220)*Y220</f>
        <v>0</v>
      </c>
      <c r="AA220" s="197">
        <f>O220-(((U220*U224)+X220)*Y220)</f>
        <v>2</v>
      </c>
      <c r="AB220" s="8">
        <f>IF(AA220&lt;0,AA220*0,1)*AA220</f>
        <v>2</v>
      </c>
      <c r="AC220" s="601">
        <f>S220+(X220*Y220)+((U220*U224)*Y220)</f>
        <v>13</v>
      </c>
      <c r="AD220" s="121" t="str">
        <f>VLOOKUP(AC220,'Lookup Tables'!$A$38:$B$151,2,FALSE)</f>
        <v>July</v>
      </c>
      <c r="AE220" s="36">
        <f>VLOOKUP(AD220,'Lookup Tables'!$A$22:$B$33,2,FALSE)</f>
        <v>1</v>
      </c>
      <c r="AF220" s="34">
        <f>VLOOKUP(AE220,'Lookup Tables'!$A$3:$AA$16,MATCH(PersonCalcYr2!AB220,'Lookup Tables'!$A$3:$AA$3),FALSE)</f>
        <v>1.4839</v>
      </c>
      <c r="AG220" s="12">
        <v>9</v>
      </c>
      <c r="AH220" s="122">
        <f>AB220-AF220</f>
        <v>0.5161</v>
      </c>
      <c r="AI220" s="119">
        <f>IF(AG220&lt;=AH220,AG220,AH220)</f>
        <v>0.5161</v>
      </c>
      <c r="AJ220" s="119">
        <f>IF((AG220+AF220)&lt;=0,0,1)</f>
        <v>1</v>
      </c>
      <c r="AK220" s="124">
        <f>((('Rate Tables'!E77*$E220)*PersonCalcYr2!AI220)*$F220)*AJ220</f>
        <v>0</v>
      </c>
      <c r="AL220" s="28">
        <f>AB220-AF220-AI220</f>
        <v>0</v>
      </c>
      <c r="AM220" s="8">
        <f>IF(AL220&lt;0,AL220*0,1)*AL220</f>
        <v>0</v>
      </c>
      <c r="AN220" s="601">
        <f>AE220+(AI220*AJ220)+((AF220*AF224)*AJ220)</f>
        <v>3</v>
      </c>
      <c r="AO220" s="121" t="str">
        <f>VLOOKUP(AN220,'Lookup Tables'!$A$38:$B$151,2,FALSE)</f>
        <v>Sept</v>
      </c>
      <c r="AP220" s="36">
        <f>VLOOKUP(AO220,'Lookup Tables'!$A$22:$B$33,2,FALSE)</f>
        <v>3</v>
      </c>
      <c r="AQ220" s="34">
        <f>VLOOKUP(AP220,'Lookup Tables'!$A$3:$AA$16,MATCH(PersonCalcYr2!AM220,'Lookup Tables'!$A$3:$AA$3),FALSE)</f>
        <v>0</v>
      </c>
      <c r="AR220" s="12">
        <v>9</v>
      </c>
      <c r="AS220" s="122">
        <f>AM220-AQ220</f>
        <v>0</v>
      </c>
      <c r="AT220" s="119">
        <f>IF(AR220&lt;=AS220,AR220,AS220)</f>
        <v>0</v>
      </c>
      <c r="AU220" s="119">
        <f>IF((AR220+AQ220)&lt;=0,0,1)</f>
        <v>1</v>
      </c>
      <c r="AV220" s="124">
        <f>((('Rate Tables'!F77*$E220)*PersonCalcYr2!AT220)*$F220)*AU220</f>
        <v>0</v>
      </c>
      <c r="AW220" s="28">
        <f>AM220-AQ220-AT220</f>
        <v>0</v>
      </c>
      <c r="AX220" s="19"/>
      <c r="AY220" s="19"/>
      <c r="AZ220" s="12"/>
      <c r="BA220" s="1199" t="s">
        <v>580</v>
      </c>
      <c r="BB220" s="349"/>
      <c r="BC220" s="276" t="s">
        <v>134</v>
      </c>
      <c r="BD220" s="285">
        <f>(((O224+O225+O226+AA224+AA225+AA226+AL224+AL225+AL226+AW224+AW225+AW226)*AY224)*BD223)*BB225</f>
        <v>0</v>
      </c>
      <c r="BE220" s="15"/>
    </row>
    <row r="221" spans="1:59" ht="13.5" customHeight="1" x14ac:dyDescent="0.25">
      <c r="A221" s="145"/>
      <c r="B221" s="12"/>
      <c r="C221" s="117" t="s">
        <v>664</v>
      </c>
      <c r="D221" s="12"/>
      <c r="E221" s="13" t="s">
        <v>16</v>
      </c>
      <c r="F221" s="13" t="s">
        <v>42</v>
      </c>
      <c r="G221" s="13" t="s">
        <v>41</v>
      </c>
      <c r="H221" s="65" t="s">
        <v>77</v>
      </c>
      <c r="I221" s="64" t="s">
        <v>90</v>
      </c>
      <c r="J221" s="63" t="s">
        <v>70</v>
      </c>
      <c r="K221" s="52" t="s">
        <v>109</v>
      </c>
      <c r="L221" s="13" t="s">
        <v>53</v>
      </c>
      <c r="M221" s="13" t="s">
        <v>82</v>
      </c>
      <c r="N221" s="13" t="s">
        <v>32</v>
      </c>
      <c r="O221" s="14" t="s">
        <v>69</v>
      </c>
      <c r="P221" s="13" t="s">
        <v>72</v>
      </c>
      <c r="Q221" s="65" t="s">
        <v>80</v>
      </c>
      <c r="R221" s="62" t="s">
        <v>81</v>
      </c>
      <c r="S221" s="65" t="s">
        <v>77</v>
      </c>
      <c r="T221" s="600" t="s">
        <v>83</v>
      </c>
      <c r="U221" s="63" t="s">
        <v>70</v>
      </c>
      <c r="V221" s="13" t="s">
        <v>92</v>
      </c>
      <c r="W221" s="13" t="s">
        <v>44</v>
      </c>
      <c r="X221" s="13" t="s">
        <v>78</v>
      </c>
      <c r="Y221" s="13" t="s">
        <v>68</v>
      </c>
      <c r="Z221" s="13" t="s">
        <v>33</v>
      </c>
      <c r="AA221" s="14" t="s">
        <v>69</v>
      </c>
      <c r="AB221" s="13" t="s">
        <v>72</v>
      </c>
      <c r="AC221" s="13" t="s">
        <v>80</v>
      </c>
      <c r="AD221" s="62" t="s">
        <v>81</v>
      </c>
      <c r="AE221" s="65" t="s">
        <v>77</v>
      </c>
      <c r="AF221" s="63" t="s">
        <v>70</v>
      </c>
      <c r="AG221" s="13" t="s">
        <v>94</v>
      </c>
      <c r="AH221" s="13" t="s">
        <v>45</v>
      </c>
      <c r="AI221" s="13" t="s">
        <v>79</v>
      </c>
      <c r="AJ221" s="13" t="s">
        <v>68</v>
      </c>
      <c r="AK221" s="13" t="s">
        <v>34</v>
      </c>
      <c r="AL221" s="14" t="s">
        <v>69</v>
      </c>
      <c r="AM221" s="13" t="s">
        <v>72</v>
      </c>
      <c r="AN221" s="13" t="s">
        <v>80</v>
      </c>
      <c r="AO221" s="62" t="s">
        <v>81</v>
      </c>
      <c r="AP221" s="65" t="s">
        <v>77</v>
      </c>
      <c r="AQ221" s="63" t="s">
        <v>70</v>
      </c>
      <c r="AR221" s="13" t="s">
        <v>94</v>
      </c>
      <c r="AS221" s="13" t="s">
        <v>45</v>
      </c>
      <c r="AT221" s="13" t="s">
        <v>79</v>
      </c>
      <c r="AU221" s="13" t="s">
        <v>68</v>
      </c>
      <c r="AV221" s="13" t="s">
        <v>34</v>
      </c>
      <c r="AW221" s="14" t="s">
        <v>69</v>
      </c>
      <c r="AX221" s="19"/>
      <c r="AY221" s="19"/>
      <c r="AZ221" s="12"/>
      <c r="BA221" s="1199"/>
      <c r="BB221" s="349"/>
      <c r="BC221" s="276"/>
      <c r="BD221" s="285"/>
      <c r="BE221" s="15"/>
    </row>
    <row r="222" spans="1:59" ht="13.5" customHeight="1" x14ac:dyDescent="0.25">
      <c r="A222" s="145"/>
      <c r="B222" s="12"/>
      <c r="C222" s="115"/>
      <c r="D222" s="12"/>
      <c r="E222" s="118">
        <f>BB216</f>
        <v>0</v>
      </c>
      <c r="F222" s="19">
        <f>IF($D$4=2024,1,0)</f>
        <v>0</v>
      </c>
      <c r="G222" s="178">
        <f>IF($B252="Yes",$C$5,$I251)</f>
        <v>12</v>
      </c>
      <c r="H222" s="36">
        <f>VLOOKUP(H250,'Lookup Tables'!$A$22:$B$33,2,FALSE)</f>
        <v>3</v>
      </c>
      <c r="I222" s="192">
        <f>VLOOKUP($E$4,'Lookup Tables'!$AB$46:$AN$58,MATCH($H222,'Lookup Tables'!$AB$46:$AN$46),FALSE)</f>
        <v>12</v>
      </c>
      <c r="J222" s="33">
        <f>VLOOKUP(H222,'Lookup Tables'!$A$3:$AA$16,MATCH(PersonCalcYr2!$G222,'Lookup Tables'!$A$3:$AA$3),FALSE)</f>
        <v>1.5161</v>
      </c>
      <c r="K222" s="54">
        <f>VLOOKUP($H250,'Lookup Tables'!$K$23:$L$34,2,FALSE)</f>
        <v>0</v>
      </c>
      <c r="L222" s="12">
        <f>IF(G222&lt;=K222,G222,K222)</f>
        <v>0</v>
      </c>
      <c r="M222" s="195">
        <f>IF(12-I222&gt;=1,1,0)</f>
        <v>0</v>
      </c>
      <c r="N222" s="15">
        <f>(('Rate Tables'!D77*PersonCalcYr2!E222)*PersonCalcYr2!L222)*PersonCalcYr2!F222*M222</f>
        <v>0</v>
      </c>
      <c r="O222" s="28">
        <f>G222-((J222+L222)*M222)</f>
        <v>12</v>
      </c>
      <c r="P222" s="8">
        <f>IF(O222&lt;0,O222*0,1)*O222</f>
        <v>12</v>
      </c>
      <c r="Q222" s="120">
        <f>VLOOKUP($H250,'Lookup Tables'!$A$22:$B$33,2,FALSE)+(L222*M222)+(J222*M222)</f>
        <v>3</v>
      </c>
      <c r="R222" s="121" t="str">
        <f>VLOOKUP(Q222,'Lookup Tables'!$A$38:$B$151,2,FALSE)</f>
        <v>Sept</v>
      </c>
      <c r="S222" s="36">
        <f>VLOOKUP(R222,'Lookup Tables'!$A$22:$B$33,2,FALSE)</f>
        <v>3</v>
      </c>
      <c r="T222" s="599">
        <f>VLOOKUP($E$4,'Lookup Tables'!$AB$63:$AN$75,MATCH(PersonCalcYr2!$S222,'Lookup Tables'!$AB$63:$AN$63),FALSE)</f>
        <v>0.5161</v>
      </c>
      <c r="U222" s="34">
        <f>VLOOKUP(S222,'Lookup Tables'!$A$3:$AA$16,MATCH(PersonCalcYr2!$P222,'Lookup Tables'!$A$3:$AA$3),FALSE)</f>
        <v>1.5161</v>
      </c>
      <c r="V222" s="12">
        <f>9-T222</f>
        <v>8.4839000000000002</v>
      </c>
      <c r="W222" s="122">
        <f>P222-U222</f>
        <v>10.4839</v>
      </c>
      <c r="X222" s="119">
        <f>IF(V222&lt;=W222,V222,W222)</f>
        <v>8.4839000000000002</v>
      </c>
      <c r="Y222" s="195">
        <f>IF(12-T222-U222-X222&gt;=0,1,0)</f>
        <v>1</v>
      </c>
      <c r="Z222" s="20">
        <f>((('Rate Tables'!E77*$E222)*PersonCalcYr2!$X222)*$F222)*Y222</f>
        <v>0</v>
      </c>
      <c r="AA222" s="197">
        <f>O222-(((U222*U224)+X222)*Y222)</f>
        <v>2</v>
      </c>
      <c r="AB222" s="8">
        <f>IF(AA222&lt;0,AA222*0,1)*AA222</f>
        <v>2</v>
      </c>
      <c r="AC222" s="601">
        <f>S222+(X222*Y222)+((U222*U224)*Y222)</f>
        <v>13</v>
      </c>
      <c r="AD222" s="121" t="str">
        <f>VLOOKUP(AC222,'Lookup Tables'!$A$38:$B$151,2,FALSE)</f>
        <v>July</v>
      </c>
      <c r="AE222" s="36">
        <f>VLOOKUP(AD222,'Lookup Tables'!$A$22:$B$33,2,FALSE)</f>
        <v>1</v>
      </c>
      <c r="AF222" s="34">
        <f>VLOOKUP(AE222,'Lookup Tables'!$A$3:$AA$16,MATCH(PersonCalcYr2!AB222,'Lookup Tables'!$A$3:$AA$3),FALSE)</f>
        <v>1.4839</v>
      </c>
      <c r="AG222" s="12">
        <v>9</v>
      </c>
      <c r="AH222" s="122">
        <f>AB222-AF222</f>
        <v>0.5161</v>
      </c>
      <c r="AI222" s="119">
        <f>IF(AG222&lt;=AH222,AG222,AH222)</f>
        <v>0.5161</v>
      </c>
      <c r="AJ222" s="119">
        <f>IF((AG222+AF222)&lt;=0,0,1)</f>
        <v>1</v>
      </c>
      <c r="AK222" s="124">
        <f>((('Rate Tables'!F77*$E222)*PersonCalcYr2!AI222)*$F222)*AJ222</f>
        <v>0</v>
      </c>
      <c r="AL222" s="28">
        <f>AB222-AF222-AI222</f>
        <v>0</v>
      </c>
      <c r="AM222" s="8">
        <f>IF(AL222&lt;0,AL222*0,1)*AL222</f>
        <v>0</v>
      </c>
      <c r="AN222" s="601">
        <f>AE222+(AI222*AJ222)+((AF222*AF224)*AJ222)</f>
        <v>3</v>
      </c>
      <c r="AO222" s="121" t="str">
        <f>VLOOKUP(AN222,'Lookup Tables'!$A$38:$B$151,2,FALSE)</f>
        <v>Sept</v>
      </c>
      <c r="AP222" s="36">
        <f>VLOOKUP(AO222,'Lookup Tables'!$A$22:$B$33,2,FALSE)</f>
        <v>3</v>
      </c>
      <c r="AQ222" s="34">
        <f>VLOOKUP(AP222,'Lookup Tables'!$A$3:$AA$16,MATCH(PersonCalcYr2!AM222,'Lookup Tables'!$A$3:$AA$3),FALSE)</f>
        <v>0</v>
      </c>
      <c r="AR222" s="12">
        <v>9</v>
      </c>
      <c r="AS222" s="122">
        <f>AM222-AQ222</f>
        <v>0</v>
      </c>
      <c r="AT222" s="119">
        <f>IF(AR222&lt;=AS222,AR222,AS222)</f>
        <v>0</v>
      </c>
      <c r="AU222" s="119">
        <f>IF((AR222+AQ222)&lt;=0,0,1)</f>
        <v>1</v>
      </c>
      <c r="AV222" s="124">
        <f>((('Rate Tables'!G77*$E222)*PersonCalcYr2!AT222)*$F222)*AU222</f>
        <v>0</v>
      </c>
      <c r="AW222" s="28">
        <f>AM222-AQ222-AT222</f>
        <v>0</v>
      </c>
      <c r="AX222" s="19"/>
      <c r="AY222" s="19"/>
      <c r="AZ222" s="12"/>
      <c r="BA222" s="1199"/>
      <c r="BB222" s="349" t="s">
        <v>643</v>
      </c>
      <c r="BC222" s="276"/>
      <c r="BD222" s="285"/>
      <c r="BE222" s="15"/>
    </row>
    <row r="223" spans="1:59" ht="13.5" customHeight="1" x14ac:dyDescent="0.25">
      <c r="A223" s="145"/>
      <c r="B223" s="12"/>
      <c r="C223" s="115"/>
      <c r="D223" s="12"/>
      <c r="E223" s="118"/>
      <c r="F223" s="19"/>
      <c r="G223" s="12"/>
      <c r="H223" s="12"/>
      <c r="I223" s="141"/>
      <c r="J223" s="228" t="s">
        <v>183</v>
      </c>
      <c r="K223" s="13" t="s">
        <v>181</v>
      </c>
      <c r="L223" s="13" t="s">
        <v>179</v>
      </c>
      <c r="M223" s="13" t="s">
        <v>180</v>
      </c>
      <c r="N223" s="660" t="s">
        <v>128</v>
      </c>
      <c r="O223" s="135" t="s">
        <v>130</v>
      </c>
      <c r="P223" s="8"/>
      <c r="Q223" s="123"/>
      <c r="R223" s="12"/>
      <c r="S223" s="12"/>
      <c r="T223" s="12"/>
      <c r="U223" s="12"/>
      <c r="V223" s="228" t="s">
        <v>183</v>
      </c>
      <c r="W223" s="13" t="s">
        <v>181</v>
      </c>
      <c r="X223" s="13" t="s">
        <v>179</v>
      </c>
      <c r="Y223" s="13" t="s">
        <v>180</v>
      </c>
      <c r="Z223" s="13" t="s">
        <v>128</v>
      </c>
      <c r="AA223" s="135" t="s">
        <v>130</v>
      </c>
      <c r="AB223" s="8"/>
      <c r="AC223" s="123"/>
      <c r="AD223" s="12"/>
      <c r="AE223" s="12"/>
      <c r="AF223" s="12"/>
      <c r="AG223" s="228" t="s">
        <v>183</v>
      </c>
      <c r="AH223" s="13" t="s">
        <v>181</v>
      </c>
      <c r="AI223" s="13" t="s">
        <v>179</v>
      </c>
      <c r="AJ223" s="13" t="s">
        <v>180</v>
      </c>
      <c r="AK223" s="52" t="s">
        <v>128</v>
      </c>
      <c r="AL223" s="135" t="s">
        <v>130</v>
      </c>
      <c r="AN223" s="13"/>
      <c r="AO223" s="13"/>
      <c r="AP223" s="13"/>
      <c r="AQ223" s="13"/>
      <c r="AR223" s="228" t="s">
        <v>183</v>
      </c>
      <c r="AS223" s="13" t="s">
        <v>181</v>
      </c>
      <c r="AT223" s="13" t="s">
        <v>179</v>
      </c>
      <c r="AU223" s="13" t="s">
        <v>180</v>
      </c>
      <c r="AV223" s="52" t="s">
        <v>128</v>
      </c>
      <c r="AW223" s="135" t="s">
        <v>130</v>
      </c>
      <c r="AX223" s="13"/>
      <c r="AY223" s="13" t="s">
        <v>159</v>
      </c>
      <c r="AZ223" s="12"/>
      <c r="BA223" s="1199"/>
      <c r="BB223" s="350" t="s">
        <v>644</v>
      </c>
      <c r="BC223" s="227" t="s">
        <v>582</v>
      </c>
      <c r="BD223" s="663">
        <f>IF(BD216&gt;0,1,0)</f>
        <v>0</v>
      </c>
      <c r="BE223" s="15"/>
    </row>
    <row r="224" spans="1:59" ht="13.5" customHeight="1" x14ac:dyDescent="0.25">
      <c r="A224" s="145"/>
      <c r="B224" s="227"/>
      <c r="C224" s="115"/>
      <c r="D224" s="12"/>
      <c r="E224" s="118"/>
      <c r="F224" s="19"/>
      <c r="G224" s="12"/>
      <c r="H224" s="12"/>
      <c r="I224" s="141"/>
      <c r="J224" s="141">
        <f>IF($BA231&gt;0,1,0)</f>
        <v>0</v>
      </c>
      <c r="K224" s="12">
        <f>IF($BA231=0,1,0)</f>
        <v>1</v>
      </c>
      <c r="L224" s="129">
        <f>'Rate Tables'!$P$17</f>
        <v>910</v>
      </c>
      <c r="M224" s="129">
        <f>'Rate Tables'!$Q$17</f>
        <v>933.34</v>
      </c>
      <c r="N224" s="661">
        <f>ROUNDUP(N227,0)</f>
        <v>0</v>
      </c>
      <c r="O224" s="136">
        <f>((J224*L224)+(K224*M224))*N224</f>
        <v>0</v>
      </c>
      <c r="P224" s="8"/>
      <c r="Q224" s="123"/>
      <c r="R224" s="12"/>
      <c r="S224" s="12"/>
      <c r="T224" s="605" t="s">
        <v>573</v>
      </c>
      <c r="U224" s="606">
        <f>VLOOKUP($E$4,'Lookup Tables'!$L$79:$X$91,MATCH(PersonCalcYr2!$S218,'Lookup Tables'!$L$79:$X$79),FALSE)</f>
        <v>1</v>
      </c>
      <c r="V224" s="141">
        <f>IF($BA231&gt;0,1,0)</f>
        <v>0</v>
      </c>
      <c r="W224" s="12">
        <f>IF($BA231=0,1,0)</f>
        <v>1</v>
      </c>
      <c r="X224" s="129">
        <f>'Rate Tables'!$P$18</f>
        <v>910</v>
      </c>
      <c r="Y224" s="129">
        <f>'Rate Tables'!$Q$18</f>
        <v>933.34</v>
      </c>
      <c r="Z224" s="657">
        <f>IF(Y227&lt;=AA228,Y227,AA228)</f>
        <v>0</v>
      </c>
      <c r="AA224" s="136">
        <f>((V224*X224)+(W224*Y224))*Z224</f>
        <v>0</v>
      </c>
      <c r="AB224" s="8"/>
      <c r="AC224" s="123"/>
      <c r="AD224" s="12"/>
      <c r="AE224" s="605" t="s">
        <v>573</v>
      </c>
      <c r="AF224" s="606">
        <v>1</v>
      </c>
      <c r="AG224" s="141">
        <f>IF($BA231&gt;0,1,0)</f>
        <v>0</v>
      </c>
      <c r="AH224" s="12">
        <f>IF($BA231=0,1,0)</f>
        <v>1</v>
      </c>
      <c r="AI224" s="129">
        <f>'Rate Tables'!$P$19</f>
        <v>910</v>
      </c>
      <c r="AJ224" s="129">
        <f>'Rate Tables'!$Q$19</f>
        <v>933.34</v>
      </c>
      <c r="AK224" s="657">
        <f>IF(AJ227&lt;=AL227,AJ227,AL227)</f>
        <v>0</v>
      </c>
      <c r="AL224" s="136">
        <f>((AG224*AI224)+(AH224*AJ224))*AK224</f>
        <v>0</v>
      </c>
      <c r="AN224" s="19"/>
      <c r="AO224" s="19"/>
      <c r="AP224" s="19"/>
      <c r="AQ224" s="19"/>
      <c r="AR224" s="141">
        <f>IF($BA231&gt;0,1,0)</f>
        <v>0</v>
      </c>
      <c r="AS224" s="12">
        <f>IF($BA231=0,1,0)</f>
        <v>1</v>
      </c>
      <c r="AT224" s="129">
        <f>'Rate Tables'!$P$20</f>
        <v>928.2</v>
      </c>
      <c r="AU224" s="129">
        <f>'Rate Tables'!$Q$20</f>
        <v>952</v>
      </c>
      <c r="AV224" s="657">
        <f>IF(AU227&lt;=AW227,AU227,AW227)</f>
        <v>0</v>
      </c>
      <c r="AW224" s="136">
        <f>((AR224*AT224)+(AS224*AU224))*AV224</f>
        <v>0</v>
      </c>
      <c r="AX224" s="19"/>
      <c r="AY224" s="19">
        <f>VLOOKUP(B214,'Lookup Tables'!$AK$22:$AM$24,2,0)</f>
        <v>0</v>
      </c>
      <c r="AZ224" s="12"/>
      <c r="BA224" s="307">
        <f>N227+N228+N229+Z228+Z229+Z230+AK227+AK228+AK229+AV227+AV228+AV229</f>
        <v>9</v>
      </c>
      <c r="BB224" s="358" t="str">
        <f>IF(BB216=50%,"no",Personnel!O78)</f>
        <v>No</v>
      </c>
      <c r="BC224" s="12"/>
      <c r="BD224" s="285"/>
      <c r="BE224" s="15"/>
    </row>
    <row r="225" spans="1:58" ht="13.5" customHeight="1" x14ac:dyDescent="0.25">
      <c r="A225" s="145"/>
      <c r="B225" s="12"/>
      <c r="C225" s="115"/>
      <c r="D225" s="12"/>
      <c r="E225" s="126"/>
      <c r="F225" s="19"/>
      <c r="G225" s="12"/>
      <c r="H225" s="12"/>
      <c r="I225" s="12"/>
      <c r="J225" s="141">
        <f>IF($BA231&gt;0,1,0)</f>
        <v>0</v>
      </c>
      <c r="K225" s="12">
        <f>IF($BA231=0,1,0)</f>
        <v>1</v>
      </c>
      <c r="L225" s="129">
        <f>'Rate Tables'!$P$18</f>
        <v>910</v>
      </c>
      <c r="M225" s="129">
        <f>'Rate Tables'!$Q$18</f>
        <v>933.34</v>
      </c>
      <c r="N225" s="661">
        <f t="shared" ref="N225:N226" si="6">ROUNDUP(N228,0)</f>
        <v>0</v>
      </c>
      <c r="O225" s="136">
        <f t="shared" ref="O225:O226" si="7">((J225*L225)+(K225*M225))*N225</f>
        <v>0</v>
      </c>
      <c r="P225" s="19"/>
      <c r="Q225" s="19"/>
      <c r="R225" s="19"/>
      <c r="S225" s="19"/>
      <c r="T225" s="19"/>
      <c r="U225" s="12"/>
      <c r="V225" s="141">
        <f>IF($BA231&gt;0,1,0)</f>
        <v>0</v>
      </c>
      <c r="W225" s="12">
        <f>IF($BA231=0,1,0)</f>
        <v>1</v>
      </c>
      <c r="X225" s="129">
        <f>'Rate Tables'!$P$19</f>
        <v>910</v>
      </c>
      <c r="Y225" s="129">
        <f>'Rate Tables'!$Q$19</f>
        <v>933.34</v>
      </c>
      <c r="Z225" s="657">
        <f>IF(Y227&lt;=AA229,Y227,AA229)</f>
        <v>9</v>
      </c>
      <c r="AA225" s="136">
        <f>((V225*X225)+(W225*Y225))*Z225</f>
        <v>8400.06</v>
      </c>
      <c r="AB225" s="20"/>
      <c r="AC225" s="20"/>
      <c r="AD225" s="20"/>
      <c r="AE225" s="20"/>
      <c r="AF225" s="123"/>
      <c r="AG225" s="141">
        <f>IF($BA231&gt;0,1,0)</f>
        <v>0</v>
      </c>
      <c r="AH225" s="12">
        <f>IF($BA231=0,1,0)</f>
        <v>1</v>
      </c>
      <c r="AI225" s="129">
        <f>'Rate Tables'!$P$20</f>
        <v>928.2</v>
      </c>
      <c r="AJ225" s="129">
        <f>'Rate Tables'!$Q$20</f>
        <v>952</v>
      </c>
      <c r="AK225" s="657">
        <f>IF(AJ227&lt;=AL228,AJ227,AL228)</f>
        <v>0</v>
      </c>
      <c r="AL225" s="136">
        <f t="shared" ref="AL225:AL226" si="8">((AG225*AI225)+(AH225*AJ225))*AK225</f>
        <v>0</v>
      </c>
      <c r="AN225" s="19"/>
      <c r="AO225" s="19"/>
      <c r="AP225" s="19"/>
      <c r="AQ225" s="19"/>
      <c r="AR225" s="141">
        <f>IF($BA231&gt;0,1,0)</f>
        <v>0</v>
      </c>
      <c r="AS225" s="12">
        <f>IF($BA231=0,1,0)</f>
        <v>1</v>
      </c>
      <c r="AT225" s="129">
        <f>'Rate Tables'!$P$21</f>
        <v>946.76</v>
      </c>
      <c r="AU225" s="129">
        <f>'Rate Tables'!$Q$21</f>
        <v>971.04</v>
      </c>
      <c r="AV225" s="657">
        <f>IF(AU227&lt;=AW228,AU227,AW228)</f>
        <v>0</v>
      </c>
      <c r="AW225" s="136">
        <f>((AR225*AT225)+(AS225*AU225))*AV225</f>
        <v>0</v>
      </c>
      <c r="AX225" s="19"/>
      <c r="AY225" s="19"/>
      <c r="AZ225" s="12"/>
      <c r="BA225" s="307">
        <f>ROUNDUP(BA224,0)</f>
        <v>9</v>
      </c>
      <c r="BB225" s="349">
        <f>IF(BB224="yes",0.5,1)</f>
        <v>1</v>
      </c>
      <c r="BC225" s="12"/>
      <c r="BD225" s="285"/>
      <c r="BE225" s="15"/>
    </row>
    <row r="226" spans="1:58" ht="13.5" customHeight="1" x14ac:dyDescent="0.25">
      <c r="A226" s="145"/>
      <c r="B226" s="12"/>
      <c r="C226" s="115"/>
      <c r="D226" s="12"/>
      <c r="E226" s="126"/>
      <c r="F226" s="19"/>
      <c r="G226" s="12"/>
      <c r="H226" s="12"/>
      <c r="I226" s="12"/>
      <c r="J226" s="141">
        <f>IF($BA231&gt;0,1,0)</f>
        <v>0</v>
      </c>
      <c r="K226" s="12">
        <f>IF($BA231=0,1,0)</f>
        <v>1</v>
      </c>
      <c r="L226" s="129">
        <f>'Rate Tables'!$P$19</f>
        <v>910</v>
      </c>
      <c r="M226" s="129">
        <f>'Rate Tables'!$Q$19</f>
        <v>933.34</v>
      </c>
      <c r="N226" s="734">
        <f t="shared" si="6"/>
        <v>0</v>
      </c>
      <c r="O226" s="136">
        <f t="shared" si="7"/>
        <v>0</v>
      </c>
      <c r="P226" s="19"/>
      <c r="Q226" s="19"/>
      <c r="R226" s="19"/>
      <c r="S226" s="19"/>
      <c r="T226" s="19"/>
      <c r="U226" s="12"/>
      <c r="V226" s="141">
        <f>IF($BA231&gt;0,1,0)</f>
        <v>0</v>
      </c>
      <c r="W226" s="12">
        <f>IF($BA231=0,1,0)</f>
        <v>1</v>
      </c>
      <c r="X226" s="129">
        <f>'Rate Tables'!$P$20</f>
        <v>928.2</v>
      </c>
      <c r="Y226" s="129">
        <f>'Rate Tables'!$Q$20</f>
        <v>952</v>
      </c>
      <c r="Z226" s="657">
        <f>IF(Y227&lt;=AA230,Y227,AA230)</f>
        <v>0</v>
      </c>
      <c r="AA226" s="136">
        <f>((V226*X226)+(W226*Y226))*Z226</f>
        <v>0</v>
      </c>
      <c r="AB226" s="20"/>
      <c r="AC226" s="20"/>
      <c r="AD226" s="20"/>
      <c r="AE226" s="20"/>
      <c r="AF226" s="123"/>
      <c r="AG226" s="141">
        <f>IF($BA231&gt;0,1,0)</f>
        <v>0</v>
      </c>
      <c r="AH226" s="12">
        <f>IF($BA231=0,1,0)</f>
        <v>1</v>
      </c>
      <c r="AI226" s="129">
        <f>'Rate Tables'!$P$21</f>
        <v>946.76</v>
      </c>
      <c r="AJ226" s="129">
        <f>'Rate Tables'!$Q$21</f>
        <v>971.04</v>
      </c>
      <c r="AK226" s="657">
        <f>IF(AJ227&lt;=AL229,AJ227,AL229)</f>
        <v>0</v>
      </c>
      <c r="AL226" s="136">
        <f t="shared" si="8"/>
        <v>0</v>
      </c>
      <c r="AN226" s="19"/>
      <c r="AO226" s="19"/>
      <c r="AP226" s="19"/>
      <c r="AQ226" s="19"/>
      <c r="AR226" s="141">
        <f>IF($BA231&gt;0,1,0)</f>
        <v>0</v>
      </c>
      <c r="AS226" s="12">
        <f>IF($BA231=0,1,0)</f>
        <v>1</v>
      </c>
      <c r="AT226" s="129">
        <f>'Rate Tables'!$P$22</f>
        <v>965.7</v>
      </c>
      <c r="AU226" s="129">
        <f>'Rate Tables'!$Q$22</f>
        <v>990.46</v>
      </c>
      <c r="AV226" s="657">
        <f>IF(AU227&lt;=AW229,AU227,AW229)</f>
        <v>0</v>
      </c>
      <c r="AW226" s="136">
        <f>((AR226*AT226)+(AS226*AU226))*AV226</f>
        <v>0</v>
      </c>
      <c r="AX226" s="19"/>
      <c r="AY226" s="19"/>
      <c r="AZ226" s="12"/>
      <c r="BA226" s="307"/>
      <c r="BB226" s="349"/>
      <c r="BC226" s="12"/>
      <c r="BD226" s="285"/>
      <c r="BE226" s="15"/>
    </row>
    <row r="227" spans="1:58" ht="13.5" customHeight="1" x14ac:dyDescent="0.25">
      <c r="A227" s="145"/>
      <c r="B227" s="12"/>
      <c r="C227" s="115"/>
      <c r="D227" s="12"/>
      <c r="E227" s="126"/>
      <c r="F227" s="19"/>
      <c r="G227" s="12" t="s">
        <v>585</v>
      </c>
      <c r="H227" s="12"/>
      <c r="I227" s="12"/>
      <c r="J227" s="141"/>
      <c r="K227" s="12"/>
      <c r="L227" s="129"/>
      <c r="M227" s="129"/>
      <c r="N227" s="661">
        <f>L218*M218*F218</f>
        <v>0</v>
      </c>
      <c r="O227" s="136"/>
      <c r="P227" s="19"/>
      <c r="Q227" s="19"/>
      <c r="R227" s="19"/>
      <c r="S227" s="19"/>
      <c r="T227" s="19"/>
      <c r="U227" s="12"/>
      <c r="V227" s="141"/>
      <c r="W227" s="12"/>
      <c r="X227" s="653" t="s">
        <v>581</v>
      </c>
      <c r="Y227" s="653">
        <f>BA225-N224-N225-N226</f>
        <v>9</v>
      </c>
      <c r="Z227" s="657"/>
      <c r="AA227" s="125"/>
      <c r="AB227" s="20"/>
      <c r="AC227" s="20"/>
      <c r="AD227" s="20"/>
      <c r="AE227" s="20"/>
      <c r="AF227" s="123"/>
      <c r="AG227" s="141"/>
      <c r="AH227" s="12"/>
      <c r="AI227" s="653" t="s">
        <v>581</v>
      </c>
      <c r="AJ227" s="653">
        <f>Y227-Z224-Z225-Z226</f>
        <v>0</v>
      </c>
      <c r="AK227" s="654">
        <f>AI218*AJ218*F218</f>
        <v>0</v>
      </c>
      <c r="AL227" s="655">
        <f>ROUNDUP(AK227,0)</f>
        <v>0</v>
      </c>
      <c r="AN227" s="19"/>
      <c r="AO227" s="19"/>
      <c r="AP227" s="19"/>
      <c r="AQ227" s="19"/>
      <c r="AR227" s="141"/>
      <c r="AS227" s="12"/>
      <c r="AT227" s="653" t="s">
        <v>581</v>
      </c>
      <c r="AU227" s="653">
        <f>AJ227-AK224-AK225*AK226</f>
        <v>0</v>
      </c>
      <c r="AV227" s="654">
        <f>AT218*AU218*F218</f>
        <v>0</v>
      </c>
      <c r="AW227" s="655">
        <f>ROUNDUP(AV227,0)</f>
        <v>0</v>
      </c>
      <c r="AX227" s="19"/>
      <c r="AY227" s="19"/>
      <c r="AZ227" s="12"/>
      <c r="BA227" s="307"/>
      <c r="BB227" s="349"/>
      <c r="BC227" s="12"/>
      <c r="BD227" s="285"/>
      <c r="BE227" s="15"/>
    </row>
    <row r="228" spans="1:58" ht="13.5" customHeight="1" x14ac:dyDescent="0.25">
      <c r="A228" s="145"/>
      <c r="B228" s="12"/>
      <c r="C228" s="115"/>
      <c r="D228" s="12"/>
      <c r="E228" s="126"/>
      <c r="F228" s="19"/>
      <c r="G228" s="12"/>
      <c r="H228" s="12"/>
      <c r="I228" s="12"/>
      <c r="J228" s="141"/>
      <c r="K228" s="12"/>
      <c r="L228" s="129"/>
      <c r="M228" s="129"/>
      <c r="N228" s="661">
        <f>L220*M220*F220</f>
        <v>0</v>
      </c>
      <c r="O228" s="136"/>
      <c r="P228" s="19"/>
      <c r="Q228" s="19"/>
      <c r="R228" s="19"/>
      <c r="S228" s="19"/>
      <c r="T228" s="19"/>
      <c r="U228" s="12"/>
      <c r="V228" s="141"/>
      <c r="W228" s="12"/>
      <c r="X228" s="129"/>
      <c r="Y228" s="129"/>
      <c r="Z228" s="654">
        <f>X218*Y218*F218</f>
        <v>0</v>
      </c>
      <c r="AA228" s="655">
        <f>ROUNDUP(Z228,0)</f>
        <v>0</v>
      </c>
      <c r="AB228" s="20"/>
      <c r="AC228" s="20"/>
      <c r="AD228" s="20"/>
      <c r="AE228" s="20"/>
      <c r="AF228" s="123"/>
      <c r="AG228" s="141"/>
      <c r="AH228" s="12"/>
      <c r="AI228" s="653"/>
      <c r="AJ228" s="653"/>
      <c r="AK228" s="731">
        <f>AI220*AJ220*F220</f>
        <v>0.5161</v>
      </c>
      <c r="AL228" s="732">
        <f>ROUNDUP(AK228,0)</f>
        <v>1</v>
      </c>
      <c r="AN228" s="19"/>
      <c r="AO228" s="19"/>
      <c r="AP228" s="19"/>
      <c r="AQ228" s="19"/>
      <c r="AR228" s="141"/>
      <c r="AS228" s="12"/>
      <c r="AT228" s="129"/>
      <c r="AU228" s="129"/>
      <c r="AV228" s="731">
        <f>AT220*AU220*F220</f>
        <v>0</v>
      </c>
      <c r="AW228" s="732">
        <f>ROUNDUP(AV228,0)</f>
        <v>0</v>
      </c>
      <c r="AX228" s="19"/>
      <c r="AY228" s="19"/>
      <c r="AZ228" s="12"/>
      <c r="BA228" s="307"/>
      <c r="BB228" s="349"/>
      <c r="BC228" s="12"/>
      <c r="BD228" s="285"/>
      <c r="BE228" s="15"/>
    </row>
    <row r="229" spans="1:58" ht="13.5" customHeight="1" x14ac:dyDescent="0.25">
      <c r="A229" s="145"/>
      <c r="B229" s="12"/>
      <c r="C229" s="259" t="s">
        <v>606</v>
      </c>
      <c r="D229" s="12"/>
      <c r="E229" s="126"/>
      <c r="F229" s="19"/>
      <c r="G229" s="12"/>
      <c r="H229" s="12"/>
      <c r="I229" s="12"/>
      <c r="J229" s="12"/>
      <c r="K229" s="12"/>
      <c r="L229" s="12"/>
      <c r="M229" s="12"/>
      <c r="N229" s="734">
        <f>L222*M222*F222</f>
        <v>0</v>
      </c>
      <c r="O229" s="18"/>
      <c r="P229" s="19"/>
      <c r="Q229" s="19"/>
      <c r="R229" s="19"/>
      <c r="S229" s="19"/>
      <c r="T229" s="19"/>
      <c r="U229" s="12"/>
      <c r="V229" s="122"/>
      <c r="W229" s="122"/>
      <c r="X229" s="122"/>
      <c r="Y229" s="119"/>
      <c r="Z229" s="731">
        <f>X220*Y220*F220</f>
        <v>8.4839000000000002</v>
      </c>
      <c r="AA229" s="732">
        <f>ROUNDUP(Z229,0)</f>
        <v>9</v>
      </c>
      <c r="AB229" s="20"/>
      <c r="AC229" s="20"/>
      <c r="AD229" s="20"/>
      <c r="AE229" s="20"/>
      <c r="AF229" s="123"/>
      <c r="AG229" s="122"/>
      <c r="AH229" s="122"/>
      <c r="AI229" s="656"/>
      <c r="AJ229" s="656"/>
      <c r="AK229" s="733">
        <f>AI222*AJ222*F222</f>
        <v>0</v>
      </c>
      <c r="AL229" s="659">
        <f>ROUNDUP(AK229,0)</f>
        <v>0</v>
      </c>
      <c r="AN229" s="19"/>
      <c r="AO229" s="19"/>
      <c r="AP229" s="19"/>
      <c r="AQ229" s="19"/>
      <c r="AR229" s="122"/>
      <c r="AS229" s="122"/>
      <c r="AT229" s="122"/>
      <c r="AU229" s="122"/>
      <c r="AV229" s="733">
        <f>AT222*AU222*F222</f>
        <v>0</v>
      </c>
      <c r="AW229" s="659">
        <f>ROUNDUP(AV229,0)</f>
        <v>0</v>
      </c>
      <c r="AX229" s="19"/>
      <c r="AY229" s="19"/>
      <c r="AZ229" s="12"/>
      <c r="BA229" s="370" t="s">
        <v>411</v>
      </c>
      <c r="BB229" s="352" t="str">
        <f>Personnel!O76</f>
        <v>None</v>
      </c>
      <c r="BC229" s="276" t="s">
        <v>117</v>
      </c>
      <c r="BD229" s="285">
        <f>(N231+N233+N235+W231+W233+W235+AJ231+AJ233+AJ235+AU231+AU233+AU235)*AY231</f>
        <v>0</v>
      </c>
      <c r="BE229" s="15"/>
    </row>
    <row r="230" spans="1:58" ht="13.5" customHeight="1" x14ac:dyDescent="0.25">
      <c r="A230" s="145"/>
      <c r="B230" s="12"/>
      <c r="C230" s="117" t="s">
        <v>30</v>
      </c>
      <c r="D230" s="12"/>
      <c r="E230" s="13" t="s">
        <v>84</v>
      </c>
      <c r="F230" s="13" t="s">
        <v>42</v>
      </c>
      <c r="G230" s="13" t="s">
        <v>41</v>
      </c>
      <c r="H230" s="65" t="s">
        <v>77</v>
      </c>
      <c r="I230" s="137" t="s">
        <v>101</v>
      </c>
      <c r="J230" s="139" t="s">
        <v>102</v>
      </c>
      <c r="K230" s="127" t="s">
        <v>98</v>
      </c>
      <c r="L230" s="13" t="s">
        <v>100</v>
      </c>
      <c r="M230" s="13" t="s">
        <v>82</v>
      </c>
      <c r="N230" s="13" t="s">
        <v>31</v>
      </c>
      <c r="O230" s="14" t="s">
        <v>69</v>
      </c>
      <c r="P230" s="13" t="s">
        <v>72</v>
      </c>
      <c r="Q230" s="13" t="s">
        <v>103</v>
      </c>
      <c r="R230" s="65" t="s">
        <v>77</v>
      </c>
      <c r="S230" s="137" t="s">
        <v>101</v>
      </c>
      <c r="T230" s="139" t="s">
        <v>102</v>
      </c>
      <c r="U230" s="12" t="s">
        <v>98</v>
      </c>
      <c r="V230" s="13" t="s">
        <v>100</v>
      </c>
      <c r="W230" s="13" t="s">
        <v>32</v>
      </c>
      <c r="X230" s="13" t="s">
        <v>69</v>
      </c>
      <c r="Y230" s="13"/>
      <c r="Z230" s="733">
        <f>X220*Y220*F222</f>
        <v>0</v>
      </c>
      <c r="AA230" s="659">
        <f>ROUNDUP(Z230,0)</f>
        <v>0</v>
      </c>
      <c r="AB230" s="13" t="s">
        <v>72</v>
      </c>
      <c r="AC230" s="13" t="s">
        <v>103</v>
      </c>
      <c r="AD230" s="13"/>
      <c r="AE230" s="65" t="s">
        <v>77</v>
      </c>
      <c r="AF230" s="137" t="s">
        <v>101</v>
      </c>
      <c r="AG230" s="139" t="s">
        <v>102</v>
      </c>
      <c r="AH230" s="12" t="s">
        <v>98</v>
      </c>
      <c r="AI230" s="13" t="s">
        <v>100</v>
      </c>
      <c r="AJ230" s="13" t="s">
        <v>33</v>
      </c>
      <c r="AK230" s="13" t="s">
        <v>69</v>
      </c>
      <c r="AL230" s="18"/>
      <c r="AM230" s="13" t="s">
        <v>72</v>
      </c>
      <c r="AN230" s="13" t="s">
        <v>103</v>
      </c>
      <c r="AO230" s="13"/>
      <c r="AP230" s="65" t="s">
        <v>77</v>
      </c>
      <c r="AQ230" s="137" t="s">
        <v>101</v>
      </c>
      <c r="AR230" s="139" t="s">
        <v>102</v>
      </c>
      <c r="AS230" s="12" t="s">
        <v>98</v>
      </c>
      <c r="AT230" s="13" t="s">
        <v>100</v>
      </c>
      <c r="AU230" s="13" t="s">
        <v>33</v>
      </c>
      <c r="AV230" s="13" t="s">
        <v>69</v>
      </c>
      <c r="AW230" s="18"/>
      <c r="AX230" s="13"/>
      <c r="AY230" s="13" t="s">
        <v>159</v>
      </c>
      <c r="AZ230" s="12"/>
      <c r="BA230" s="276" t="s">
        <v>95</v>
      </c>
      <c r="BB230" s="349"/>
      <c r="BC230" s="276" t="s">
        <v>186</v>
      </c>
      <c r="BD230" s="285">
        <f>BD229*'Rate Tables'!P$8</f>
        <v>0</v>
      </c>
      <c r="BE230" s="15"/>
      <c r="BF230" s="314"/>
    </row>
    <row r="231" spans="1:58" ht="13.5" customHeight="1" x14ac:dyDescent="0.25">
      <c r="A231" s="145"/>
      <c r="B231" s="12"/>
      <c r="C231" s="115"/>
      <c r="D231" s="12"/>
      <c r="E231" s="211">
        <f>IF(H252&lt;=H253,H252,H253)</f>
        <v>0</v>
      </c>
      <c r="F231" s="19">
        <f>IF($D$4=2022,1,0)</f>
        <v>0</v>
      </c>
      <c r="G231" s="178">
        <f>IF($B252="Yes",$C$5,$I251)</f>
        <v>12</v>
      </c>
      <c r="H231" s="36">
        <f>H218</f>
        <v>3</v>
      </c>
      <c r="I231" s="138">
        <f>VLOOKUP(J218,'Lookup Tables'!$AB$22:$AC$31,2,FALSE)</f>
        <v>32</v>
      </c>
      <c r="J231" s="140">
        <f>VLOOKUP(U218,'Lookup Tables'!$AB$32:$AC$41,2,FALSE)</f>
        <v>33</v>
      </c>
      <c r="K231" s="123">
        <f>E231-J231</f>
        <v>-33</v>
      </c>
      <c r="L231" s="12">
        <f>IF(K231&gt;0,1,0)</f>
        <v>0</v>
      </c>
      <c r="M231" s="119">
        <f>M218</f>
        <v>0</v>
      </c>
      <c r="N231" s="15">
        <f>((((('Rate Tables'!B77*9)*0.02778)/5)*K231)*L231)*F231*M231*BA233</f>
        <v>0</v>
      </c>
      <c r="O231" s="28">
        <f>O218</f>
        <v>12</v>
      </c>
      <c r="P231" s="8">
        <f>IF(O231&lt;0,O231*0,1)*O231</f>
        <v>12</v>
      </c>
      <c r="Q231" s="123">
        <f>(E231-K231*F231*L231*M231)</f>
        <v>0</v>
      </c>
      <c r="R231" s="36">
        <f>S218</f>
        <v>3</v>
      </c>
      <c r="S231" s="138">
        <f>VLOOKUP(U218,'Lookup Tables'!$AB$22:$AC$31,2,FALSE)</f>
        <v>32</v>
      </c>
      <c r="T231" s="140">
        <f>VLOOKUP(AF218,'Lookup Tables'!$AB$32:$AC$41,2,FALSE)</f>
        <v>33</v>
      </c>
      <c r="U231" s="129">
        <f>Q231-T231</f>
        <v>-33</v>
      </c>
      <c r="V231" s="12">
        <f>IF(U231&gt;0,1,0)</f>
        <v>0</v>
      </c>
      <c r="W231" s="15">
        <f>((('Rate Tables'!C77*9)*0.02778)/5)*U231*F231*V231*BA233</f>
        <v>0</v>
      </c>
      <c r="X231" s="8">
        <f>AA218</f>
        <v>2</v>
      </c>
      <c r="Y231" s="12"/>
      <c r="Z231" s="119"/>
      <c r="AA231" s="18"/>
      <c r="AB231" s="8">
        <f>IF(X231&lt;0,X231*0,1)*X231</f>
        <v>2</v>
      </c>
      <c r="AC231" s="123">
        <f>Q231-(U231*V231)</f>
        <v>0</v>
      </c>
      <c r="AD231" s="12"/>
      <c r="AE231" s="36">
        <f>AE218</f>
        <v>1</v>
      </c>
      <c r="AF231" s="138">
        <f>VLOOKUP(AF218,'Lookup Tables'!$AB$22:$AC$31,2,FALSE)</f>
        <v>32</v>
      </c>
      <c r="AG231" s="140">
        <f>VLOOKUP(AQ218,'Lookup Tables'!$AB$32:$AC$41,2,FALSE)</f>
        <v>0</v>
      </c>
      <c r="AH231" s="125">
        <f>AC231-AG231</f>
        <v>0</v>
      </c>
      <c r="AI231" s="12">
        <f>IF(AH231&gt;0,1,0)</f>
        <v>0</v>
      </c>
      <c r="AJ231" s="15">
        <f>((('Rate Tables'!D77*9)*0.02778)/5)*AH231*AI231*F231*BA233</f>
        <v>0</v>
      </c>
      <c r="AK231" s="8">
        <f>AL218</f>
        <v>0</v>
      </c>
      <c r="AL231" s="18"/>
      <c r="AM231" s="8">
        <f>IF(AK231&lt;0,AK231*0,1)*AK231</f>
        <v>0</v>
      </c>
      <c r="AN231" s="123">
        <f>AC231-(AH231*AI231)</f>
        <v>0</v>
      </c>
      <c r="AO231" s="123"/>
      <c r="AP231" s="36">
        <f>AP218</f>
        <v>3</v>
      </c>
      <c r="AQ231" s="138">
        <f>VLOOKUP(AQ218,'Lookup Tables'!$AB$22:$AC$31,2,FALSE)</f>
        <v>0</v>
      </c>
      <c r="AR231" s="140">
        <v>0</v>
      </c>
      <c r="AS231" s="125">
        <f>AN231-AR231</f>
        <v>0</v>
      </c>
      <c r="AT231" s="12">
        <f>IF(AS231&gt;0,1,0)</f>
        <v>0</v>
      </c>
      <c r="AU231" s="15">
        <f>((('Rate Tables'!E77*9)*0.02778)/5)*AS231*AT231*F231*BA233</f>
        <v>0</v>
      </c>
      <c r="AV231" s="8">
        <f>AW218</f>
        <v>0</v>
      </c>
      <c r="AW231" s="18"/>
      <c r="AX231" s="19"/>
      <c r="AY231" s="19">
        <f>VLOOKUP(B214,'Lookup Tables'!$AK$22:$AM$24,2,0)</f>
        <v>0</v>
      </c>
      <c r="AZ231" s="12"/>
      <c r="BA231" s="308">
        <f>VLOOKUP(BB229,'Lookup Tables'!$AF$22:$AG$24,2,FALSE)</f>
        <v>0</v>
      </c>
      <c r="BB231" s="350"/>
      <c r="BC231" s="12"/>
      <c r="BD231" s="285"/>
      <c r="BE231" s="15"/>
    </row>
    <row r="232" spans="1:58" ht="13.5" customHeight="1" x14ac:dyDescent="0.25">
      <c r="A232" s="145"/>
      <c r="B232" s="12"/>
      <c r="C232" s="117" t="s">
        <v>597</v>
      </c>
      <c r="D232" s="12"/>
      <c r="E232" s="13" t="s">
        <v>84</v>
      </c>
      <c r="F232" s="13" t="s">
        <v>42</v>
      </c>
      <c r="G232" s="13" t="s">
        <v>41</v>
      </c>
      <c r="H232" s="65" t="s">
        <v>77</v>
      </c>
      <c r="I232" s="137" t="s">
        <v>105</v>
      </c>
      <c r="J232" s="139" t="s">
        <v>106</v>
      </c>
      <c r="K232" s="127" t="s">
        <v>99</v>
      </c>
      <c r="L232" s="13" t="s">
        <v>100</v>
      </c>
      <c r="M232" s="13" t="s">
        <v>82</v>
      </c>
      <c r="N232" s="13" t="s">
        <v>32</v>
      </c>
      <c r="O232" s="14" t="s">
        <v>69</v>
      </c>
      <c r="P232" s="13" t="s">
        <v>72</v>
      </c>
      <c r="Q232" s="13" t="s">
        <v>103</v>
      </c>
      <c r="R232" s="65" t="s">
        <v>77</v>
      </c>
      <c r="S232" s="137" t="s">
        <v>105</v>
      </c>
      <c r="T232" s="139" t="s">
        <v>106</v>
      </c>
      <c r="U232" s="12" t="s">
        <v>98</v>
      </c>
      <c r="V232" s="13" t="s">
        <v>100</v>
      </c>
      <c r="W232" s="13" t="s">
        <v>33</v>
      </c>
      <c r="X232" s="13" t="s">
        <v>69</v>
      </c>
      <c r="Y232" s="13"/>
      <c r="Z232" s="13"/>
      <c r="AA232" s="18"/>
      <c r="AB232" s="13" t="s">
        <v>72</v>
      </c>
      <c r="AC232" s="13" t="s">
        <v>104</v>
      </c>
      <c r="AD232" s="13"/>
      <c r="AE232" s="65" t="s">
        <v>77</v>
      </c>
      <c r="AF232" s="137" t="s">
        <v>105</v>
      </c>
      <c r="AG232" s="139" t="s">
        <v>106</v>
      </c>
      <c r="AH232" s="12" t="s">
        <v>98</v>
      </c>
      <c r="AI232" s="13" t="s">
        <v>100</v>
      </c>
      <c r="AJ232" s="13" t="s">
        <v>34</v>
      </c>
      <c r="AK232" s="13" t="s">
        <v>69</v>
      </c>
      <c r="AL232" s="18"/>
      <c r="AM232" s="13" t="s">
        <v>72</v>
      </c>
      <c r="AN232" s="13" t="s">
        <v>104</v>
      </c>
      <c r="AO232" s="13"/>
      <c r="AP232" s="65" t="s">
        <v>77</v>
      </c>
      <c r="AQ232" s="137" t="s">
        <v>105</v>
      </c>
      <c r="AR232" s="139" t="s">
        <v>106</v>
      </c>
      <c r="AS232" s="12" t="s">
        <v>98</v>
      </c>
      <c r="AT232" s="13" t="s">
        <v>100</v>
      </c>
      <c r="AU232" s="13" t="s">
        <v>34</v>
      </c>
      <c r="AV232" s="13" t="s">
        <v>69</v>
      </c>
      <c r="AW232" s="18"/>
      <c r="AX232" s="13"/>
      <c r="AY232" s="13"/>
      <c r="AZ232" s="12"/>
      <c r="BA232" s="227" t="s">
        <v>126</v>
      </c>
      <c r="BB232" s="349" t="s">
        <v>643</v>
      </c>
      <c r="BC232" s="276" t="s">
        <v>187</v>
      </c>
      <c r="BD232" s="285">
        <f>(((O237+O238+O239+AA237+AA238+AA239+AL237+AL238+AL239+AW237+AW238+AW239)*AY237)*BD233)*BB235</f>
        <v>0</v>
      </c>
      <c r="BE232" s="15"/>
    </row>
    <row r="233" spans="1:58" ht="13.5" customHeight="1" x14ac:dyDescent="0.25">
      <c r="A233" s="145"/>
      <c r="B233" s="12"/>
      <c r="C233" s="115"/>
      <c r="D233" s="12"/>
      <c r="E233" s="128">
        <f>E231</f>
        <v>0</v>
      </c>
      <c r="F233" s="19">
        <f>IF($D$4=2023,1,0)</f>
        <v>1</v>
      </c>
      <c r="G233" s="178">
        <f>IF($B252="Yes",$C$5,$I251)</f>
        <v>12</v>
      </c>
      <c r="H233" s="36">
        <f>H220</f>
        <v>3</v>
      </c>
      <c r="I233" s="138">
        <f>VLOOKUP(J220,'Lookup Tables'!$AB$22:$AC$31,2,FALSE)</f>
        <v>32</v>
      </c>
      <c r="J233" s="140">
        <f>VLOOKUP(U220,'Lookup Tables'!$AB$32:$AC$41,2,FALSE)</f>
        <v>33</v>
      </c>
      <c r="K233" s="123">
        <f>E233-J233</f>
        <v>-33</v>
      </c>
      <c r="L233" s="12">
        <f>IF(K233&gt;0,1,0)</f>
        <v>0</v>
      </c>
      <c r="M233" s="119">
        <f>M220</f>
        <v>0</v>
      </c>
      <c r="N233" s="15">
        <f>((((('Rate Tables'!C77*9)*0.02778)/5)*K233)*L233)*F233*M233*BA233</f>
        <v>0</v>
      </c>
      <c r="O233" s="28">
        <f>O220</f>
        <v>12</v>
      </c>
      <c r="P233" s="8">
        <f>IF(O233&lt;0,O233*0,1)*O233</f>
        <v>12</v>
      </c>
      <c r="Q233" s="123">
        <f>(E233-K233*F233*L233*M233)</f>
        <v>0</v>
      </c>
      <c r="R233" s="36">
        <f>S220</f>
        <v>3</v>
      </c>
      <c r="S233" s="138">
        <f>VLOOKUP(U220,'Lookup Tables'!$AB$22:$AC$31,2,FALSE)</f>
        <v>32</v>
      </c>
      <c r="T233" s="140">
        <f>VLOOKUP(AF220,'Lookup Tables'!$AB$32:$AC$41,2,FALSE)</f>
        <v>33</v>
      </c>
      <c r="U233" s="129">
        <f>Q233-T233</f>
        <v>-33</v>
      </c>
      <c r="V233" s="12">
        <f>IF(U233&gt;0,1,0)</f>
        <v>0</v>
      </c>
      <c r="W233" s="15">
        <f>((('Rate Tables'!D77*9)*0.02778)/5)*U233*F233*V233*BA233</f>
        <v>0</v>
      </c>
      <c r="X233" s="8">
        <f>AA220</f>
        <v>2</v>
      </c>
      <c r="Y233" s="12"/>
      <c r="Z233" s="119"/>
      <c r="AA233" s="18"/>
      <c r="AB233" s="8">
        <f>IF(X233&lt;0,X233*0,1)*X233</f>
        <v>2</v>
      </c>
      <c r="AC233" s="123">
        <f>Q233-(U233*V233)</f>
        <v>0</v>
      </c>
      <c r="AD233" s="12"/>
      <c r="AE233" s="36">
        <f>AE220</f>
        <v>1</v>
      </c>
      <c r="AF233" s="138">
        <f>VLOOKUP(AF220,'Lookup Tables'!$AB$22:$AC$31,2,FALSE)</f>
        <v>32</v>
      </c>
      <c r="AG233" s="140">
        <f>VLOOKUP(AQ220,'Lookup Tables'!$AB$32:$AC$41,2,FALSE)</f>
        <v>0</v>
      </c>
      <c r="AH233" s="125">
        <f>AC233-AG233</f>
        <v>0</v>
      </c>
      <c r="AI233" s="12">
        <f>IF(AH233&gt;0,1,0)</f>
        <v>0</v>
      </c>
      <c r="AJ233" s="15">
        <f>((('Rate Tables'!E77*9)*0.02778)/5)*AH233*AI233*F233*BA233</f>
        <v>0</v>
      </c>
      <c r="AK233" s="8">
        <f>AL220</f>
        <v>0</v>
      </c>
      <c r="AL233" s="18"/>
      <c r="AM233" s="8">
        <f>IF(AK233&lt;0,AK233*0,1)*AK233</f>
        <v>0</v>
      </c>
      <c r="AN233" s="123">
        <f>AC233-(AH233*AI233)</f>
        <v>0</v>
      </c>
      <c r="AO233" s="12"/>
      <c r="AP233" s="36">
        <f>AP220</f>
        <v>3</v>
      </c>
      <c r="AQ233" s="138">
        <f>VLOOKUP(AQ220,'Lookup Tables'!$AB$22:$AC$31,2,FALSE)</f>
        <v>0</v>
      </c>
      <c r="AR233" s="140">
        <v>0</v>
      </c>
      <c r="AS233" s="125">
        <f>AN233-AR233</f>
        <v>0</v>
      </c>
      <c r="AT233" s="12">
        <f>IF(AS233&gt;0,1,0)</f>
        <v>0</v>
      </c>
      <c r="AU233" s="15">
        <f>((('Rate Tables'!F77*9)*0.02778)/5)*AS233*AT233*F233*BA233</f>
        <v>0</v>
      </c>
      <c r="AV233" s="8">
        <f>AW220</f>
        <v>0</v>
      </c>
      <c r="AW233" s="18"/>
      <c r="AX233" s="19"/>
      <c r="AY233" s="19"/>
      <c r="AZ233" s="12"/>
      <c r="BA233" s="319">
        <f>VLOOKUP(BB229,'Lookup Tables'!$AF$26:$AG$28,2,0)</f>
        <v>0</v>
      </c>
      <c r="BB233" s="350" t="s">
        <v>644</v>
      </c>
      <c r="BC233" s="227" t="s">
        <v>582</v>
      </c>
      <c r="BD233" s="663">
        <f>IF(BD229&gt;0,1,0)</f>
        <v>0</v>
      </c>
      <c r="BE233" s="15"/>
    </row>
    <row r="234" spans="1:58" ht="13.5" customHeight="1" x14ac:dyDescent="0.25">
      <c r="A234" s="145"/>
      <c r="B234" s="12"/>
      <c r="C234" s="117" t="s">
        <v>664</v>
      </c>
      <c r="D234" s="12"/>
      <c r="E234" s="13" t="s">
        <v>84</v>
      </c>
      <c r="F234" s="13" t="s">
        <v>42</v>
      </c>
      <c r="G234" s="13" t="s">
        <v>41</v>
      </c>
      <c r="H234" s="65" t="s">
        <v>77</v>
      </c>
      <c r="I234" s="137" t="s">
        <v>105</v>
      </c>
      <c r="J234" s="139" t="s">
        <v>106</v>
      </c>
      <c r="K234" s="127" t="s">
        <v>99</v>
      </c>
      <c r="L234" s="13" t="s">
        <v>100</v>
      </c>
      <c r="M234" s="13" t="s">
        <v>82</v>
      </c>
      <c r="N234" s="13" t="s">
        <v>32</v>
      </c>
      <c r="O234" s="14" t="s">
        <v>69</v>
      </c>
      <c r="P234" s="13" t="s">
        <v>72</v>
      </c>
      <c r="Q234" s="13" t="s">
        <v>103</v>
      </c>
      <c r="R234" s="65" t="s">
        <v>77</v>
      </c>
      <c r="S234" s="137" t="s">
        <v>105</v>
      </c>
      <c r="T234" s="139" t="s">
        <v>106</v>
      </c>
      <c r="U234" s="12" t="s">
        <v>98</v>
      </c>
      <c r="V234" s="13" t="s">
        <v>100</v>
      </c>
      <c r="W234" s="13" t="s">
        <v>33</v>
      </c>
      <c r="X234" s="13" t="s">
        <v>69</v>
      </c>
      <c r="Y234" s="13"/>
      <c r="Z234" s="13"/>
      <c r="AA234" s="18"/>
      <c r="AB234" s="13" t="s">
        <v>72</v>
      </c>
      <c r="AC234" s="13" t="s">
        <v>104</v>
      </c>
      <c r="AD234" s="13"/>
      <c r="AE234" s="65" t="s">
        <v>77</v>
      </c>
      <c r="AF234" s="137" t="s">
        <v>105</v>
      </c>
      <c r="AG234" s="139" t="s">
        <v>106</v>
      </c>
      <c r="AH234" s="12" t="s">
        <v>98</v>
      </c>
      <c r="AI234" s="13" t="s">
        <v>100</v>
      </c>
      <c r="AJ234" s="13" t="s">
        <v>34</v>
      </c>
      <c r="AK234" s="13" t="s">
        <v>69</v>
      </c>
      <c r="AL234" s="18"/>
      <c r="AM234" s="13" t="s">
        <v>72</v>
      </c>
      <c r="AN234" s="13" t="s">
        <v>104</v>
      </c>
      <c r="AO234" s="13"/>
      <c r="AP234" s="65" t="s">
        <v>77</v>
      </c>
      <c r="AQ234" s="137" t="s">
        <v>105</v>
      </c>
      <c r="AR234" s="139" t="s">
        <v>106</v>
      </c>
      <c r="AS234" s="12" t="s">
        <v>98</v>
      </c>
      <c r="AT234" s="13" t="s">
        <v>100</v>
      </c>
      <c r="AU234" s="13" t="s">
        <v>34</v>
      </c>
      <c r="AV234" s="13" t="s">
        <v>69</v>
      </c>
      <c r="AW234" s="18"/>
      <c r="AX234" s="19"/>
      <c r="AY234" s="19"/>
      <c r="AZ234" s="12"/>
      <c r="BA234" s="227"/>
      <c r="BB234" s="358" t="str">
        <f>IF(BB229="50% sum","no",Personnel!O78)</f>
        <v>No</v>
      </c>
      <c r="BC234" s="12"/>
      <c r="BD234" s="285"/>
      <c r="BE234" s="15"/>
    </row>
    <row r="235" spans="1:58" ht="13.5" customHeight="1" x14ac:dyDescent="0.25">
      <c r="A235" s="145"/>
      <c r="B235" s="12"/>
      <c r="C235" s="115"/>
      <c r="D235" s="12"/>
      <c r="E235" s="128">
        <f>E233</f>
        <v>0</v>
      </c>
      <c r="F235" s="19">
        <f>IF($D$4=2024,1,0)</f>
        <v>0</v>
      </c>
      <c r="G235" s="178">
        <f>IF($B252="Yes",$C$5,$I251)</f>
        <v>12</v>
      </c>
      <c r="H235" s="36">
        <f>H222</f>
        <v>3</v>
      </c>
      <c r="I235" s="138">
        <f>VLOOKUP(J222,'Lookup Tables'!$AB$22:$AC$31,2,FALSE)</f>
        <v>32</v>
      </c>
      <c r="J235" s="140">
        <f>VLOOKUP(U222,'Lookup Tables'!$AB$32:$AC$41,2,FALSE)</f>
        <v>33</v>
      </c>
      <c r="K235" s="123">
        <f>E235-J235</f>
        <v>-33</v>
      </c>
      <c r="L235" s="12">
        <f>IF(K235&gt;0,1,0)</f>
        <v>0</v>
      </c>
      <c r="M235" s="119">
        <f>M222</f>
        <v>0</v>
      </c>
      <c r="N235" s="15">
        <f>((((('Rate Tables'!D77*9)*0.02778)/5)*K235)*L235)*F235*M235*BA233</f>
        <v>0</v>
      </c>
      <c r="O235" s="28">
        <f>O222</f>
        <v>12</v>
      </c>
      <c r="P235" s="8">
        <f>IF(O235&lt;0,O235*0,1)*O235</f>
        <v>12</v>
      </c>
      <c r="Q235" s="123">
        <f>(E235-K235*F235*L235*M235)</f>
        <v>0</v>
      </c>
      <c r="R235" s="36">
        <f>S222</f>
        <v>3</v>
      </c>
      <c r="S235" s="138">
        <f>VLOOKUP(U222,'Lookup Tables'!$AB$22:$AC$31,2,FALSE)</f>
        <v>32</v>
      </c>
      <c r="T235" s="140">
        <f>VLOOKUP(AF222,'Lookup Tables'!$AB$32:$AC$41,2,FALSE)</f>
        <v>33</v>
      </c>
      <c r="U235" s="129">
        <f>Q235-T235</f>
        <v>-33</v>
      </c>
      <c r="V235" s="12">
        <f>IF(U235&gt;0,1,0)</f>
        <v>0</v>
      </c>
      <c r="W235" s="15">
        <f>((('Rate Tables'!E77*9)*0.02778)/5)*U235*F235*V235*BA233</f>
        <v>0</v>
      </c>
      <c r="X235" s="8">
        <f>AA222</f>
        <v>2</v>
      </c>
      <c r="Y235" s="12"/>
      <c r="Z235" s="119"/>
      <c r="AA235" s="18"/>
      <c r="AB235" s="8">
        <f>IF(X235&lt;0,X235*0,1)*X235</f>
        <v>2</v>
      </c>
      <c r="AC235" s="123">
        <f>Q235-(U235*V235)</f>
        <v>0</v>
      </c>
      <c r="AD235" s="12"/>
      <c r="AE235" s="36">
        <f>AE222</f>
        <v>1</v>
      </c>
      <c r="AF235" s="138">
        <f>VLOOKUP(AF222,'Lookup Tables'!$AB$22:$AC$31,2,FALSE)</f>
        <v>32</v>
      </c>
      <c r="AG235" s="140">
        <f>VLOOKUP(AQ222,'Lookup Tables'!$AB$32:$AC$41,2,FALSE)</f>
        <v>0</v>
      </c>
      <c r="AH235" s="125">
        <f>AC235-AG235</f>
        <v>0</v>
      </c>
      <c r="AI235" s="12">
        <f>IF(AH235&gt;0,1,0)</f>
        <v>0</v>
      </c>
      <c r="AJ235" s="15">
        <f>((('Rate Tables'!F77*9)*0.02778)/5)*AH235*AI235*F235*BA233</f>
        <v>0</v>
      </c>
      <c r="AK235" s="8">
        <f>AL222</f>
        <v>0</v>
      </c>
      <c r="AL235" s="18"/>
      <c r="AM235" s="8">
        <f>IF(AK235&lt;0,AK235*0,1)*AK235</f>
        <v>0</v>
      </c>
      <c r="AN235" s="123">
        <f>AC235-(AH235*AI235)</f>
        <v>0</v>
      </c>
      <c r="AO235" s="12"/>
      <c r="AP235" s="36">
        <f>AP222</f>
        <v>3</v>
      </c>
      <c r="AQ235" s="138">
        <f>VLOOKUP(AQ222,'Lookup Tables'!$AB$22:$AC$31,2,FALSE)</f>
        <v>0</v>
      </c>
      <c r="AR235" s="140">
        <v>0</v>
      </c>
      <c r="AS235" s="125">
        <f>AN235-AR235</f>
        <v>0</v>
      </c>
      <c r="AT235" s="12">
        <f>IF(AS235&gt;0,1,0)</f>
        <v>0</v>
      </c>
      <c r="AU235" s="15">
        <f>((('Rate Tables'!G77*9)*0.02778)/5)*AS235*AT235*F235*BA233</f>
        <v>0</v>
      </c>
      <c r="AV235" s="8">
        <f>AW222</f>
        <v>0</v>
      </c>
      <c r="AW235" s="18"/>
      <c r="AX235" s="19"/>
      <c r="AY235" s="19"/>
      <c r="AZ235" s="12"/>
      <c r="BA235" s="227"/>
      <c r="BB235" s="349">
        <f>IF(BB234="yes",0.5,1)</f>
        <v>1</v>
      </c>
      <c r="BC235" s="12"/>
      <c r="BD235" s="285"/>
      <c r="BE235" s="15"/>
    </row>
    <row r="236" spans="1:58" ht="13.5" customHeight="1" x14ac:dyDescent="0.25">
      <c r="A236" s="145"/>
      <c r="B236" s="12"/>
      <c r="C236" s="743"/>
      <c r="D236" s="12"/>
      <c r="E236" s="12"/>
      <c r="F236" s="12"/>
      <c r="G236" s="12"/>
      <c r="H236" s="12"/>
      <c r="I236" s="12" t="s">
        <v>641</v>
      </c>
      <c r="J236" s="12" t="s">
        <v>642</v>
      </c>
      <c r="K236" s="12" t="s">
        <v>164</v>
      </c>
      <c r="L236" s="13" t="s">
        <v>165</v>
      </c>
      <c r="M236" s="608" t="s">
        <v>128</v>
      </c>
      <c r="N236" s="147" t="s">
        <v>129</v>
      </c>
      <c r="O236" s="135" t="s">
        <v>130</v>
      </c>
      <c r="P236" s="12"/>
      <c r="Q236" s="12"/>
      <c r="R236" s="12"/>
      <c r="S236" s="12"/>
      <c r="T236" s="12"/>
      <c r="U236" s="12"/>
      <c r="V236" s="12" t="s">
        <v>166</v>
      </c>
      <c r="W236" s="12" t="s">
        <v>163</v>
      </c>
      <c r="X236" s="13" t="s">
        <v>165</v>
      </c>
      <c r="Y236" s="650" t="s">
        <v>128</v>
      </c>
      <c r="Z236" s="13" t="s">
        <v>129</v>
      </c>
      <c r="AA236" s="135" t="s">
        <v>130</v>
      </c>
      <c r="AB236" s="12"/>
      <c r="AC236" s="12"/>
      <c r="AD236" s="12"/>
      <c r="AE236" s="12"/>
      <c r="AF236" s="12"/>
      <c r="AG236" s="12" t="s">
        <v>166</v>
      </c>
      <c r="AH236" s="12" t="s">
        <v>163</v>
      </c>
      <c r="AI236" s="13" t="s">
        <v>165</v>
      </c>
      <c r="AJ236" s="650" t="s">
        <v>128</v>
      </c>
      <c r="AK236" s="13" t="s">
        <v>129</v>
      </c>
      <c r="AL236" s="135" t="s">
        <v>130</v>
      </c>
      <c r="AN236" s="13"/>
      <c r="AO236" s="13"/>
      <c r="AP236" s="13"/>
      <c r="AQ236" s="13"/>
      <c r="AR236" s="12" t="s">
        <v>166</v>
      </c>
      <c r="AS236" s="12" t="s">
        <v>163</v>
      </c>
      <c r="AT236" s="13" t="s">
        <v>165</v>
      </c>
      <c r="AU236" s="650" t="s">
        <v>128</v>
      </c>
      <c r="AV236" s="13" t="s">
        <v>129</v>
      </c>
      <c r="AW236" s="135" t="s">
        <v>130</v>
      </c>
      <c r="AX236" s="13"/>
      <c r="AY236" s="13" t="s">
        <v>159</v>
      </c>
      <c r="AZ236" s="12"/>
      <c r="BA236" s="227"/>
      <c r="BB236" s="350"/>
      <c r="BC236" s="12"/>
      <c r="BD236" s="285"/>
      <c r="BE236" s="15"/>
    </row>
    <row r="237" spans="1:58" ht="13.5" customHeight="1" x14ac:dyDescent="0.25">
      <c r="A237" s="145"/>
      <c r="B237" s="12"/>
      <c r="C237" s="114"/>
      <c r="D237" s="12"/>
      <c r="E237" s="12"/>
      <c r="F237" s="12"/>
      <c r="G237" s="12"/>
      <c r="H237" s="12"/>
      <c r="I237" s="12">
        <f>G218</f>
        <v>12</v>
      </c>
      <c r="J237" s="125">
        <f>BA225</f>
        <v>9</v>
      </c>
      <c r="K237" s="758">
        <f>I237-J237</f>
        <v>3</v>
      </c>
      <c r="L237" s="123">
        <f>V237</f>
        <v>0</v>
      </c>
      <c r="M237" s="609">
        <f>IF(M240&lt;=0,0,ROUNDUP(M240,0))</f>
        <v>3</v>
      </c>
      <c r="N237" s="161">
        <f>'Rate Tables'!$P$17</f>
        <v>910</v>
      </c>
      <c r="O237" s="136">
        <f>(M237*N237)*F231*M231</f>
        <v>0</v>
      </c>
      <c r="P237" s="12"/>
      <c r="Q237" s="12"/>
      <c r="R237" s="12"/>
      <c r="S237" s="12"/>
      <c r="T237" s="12"/>
      <c r="U237" s="12"/>
      <c r="V237" s="12">
        <f>VLOOKUP((U231*V231),'Lookup Tables'!$E$38:$F$103,2,0)</f>
        <v>0</v>
      </c>
      <c r="W237" s="12">
        <f>K237-(M237*M231)</f>
        <v>3</v>
      </c>
      <c r="X237" s="119">
        <f>AG237</f>
        <v>0</v>
      </c>
      <c r="Y237" s="609">
        <f>IF(Y240&lt;=0,0,ROUNDUP(Y240,0))</f>
        <v>3</v>
      </c>
      <c r="Z237" s="129">
        <f>'Rate Tables'!$P$18</f>
        <v>910</v>
      </c>
      <c r="AA237" s="136">
        <f>Y237*Z237*F231*V231</f>
        <v>0</v>
      </c>
      <c r="AB237" s="12"/>
      <c r="AC237" s="12"/>
      <c r="AD237" s="12"/>
      <c r="AE237" s="12"/>
      <c r="AF237" s="12"/>
      <c r="AG237" s="12">
        <f>VLOOKUP(AH231,'Lookup Tables'!$E$38:$F$103,2,0)</f>
        <v>0</v>
      </c>
      <c r="AH237" s="125">
        <f>W237-(Y237*V231)</f>
        <v>3</v>
      </c>
      <c r="AI237" s="119">
        <f>AR237</f>
        <v>0</v>
      </c>
      <c r="AJ237" s="609">
        <f>IF(AJ240&lt;=0,0,ROUNDUP(AJ240,0))</f>
        <v>3</v>
      </c>
      <c r="AK237" s="129">
        <f>'Rate Tables'!$P$19</f>
        <v>910</v>
      </c>
      <c r="AL237" s="136">
        <f>AJ237*AK237*F231*AI231</f>
        <v>0</v>
      </c>
      <c r="AN237" s="19"/>
      <c r="AO237" s="19"/>
      <c r="AP237" s="19"/>
      <c r="AQ237" s="19"/>
      <c r="AR237" s="12">
        <f>VLOOKUP((AS231*AT231),'Lookup Tables'!$E$38:$F$103,2,0)</f>
        <v>0</v>
      </c>
      <c r="AS237" s="125">
        <f>AH237-(AJ237*AI231)</f>
        <v>3</v>
      </c>
      <c r="AT237" s="119">
        <v>0</v>
      </c>
      <c r="AU237" s="609">
        <f>IF(AU240&lt;=0,0,ROUNDUP(AU240,0))</f>
        <v>3</v>
      </c>
      <c r="AV237" s="129">
        <f>'Rate Tables'!$P$20</f>
        <v>928.2</v>
      </c>
      <c r="AW237" s="136">
        <f>AU237*AV237*F231*AT231</f>
        <v>0</v>
      </c>
      <c r="AX237" s="19"/>
      <c r="AY237" s="19">
        <f>VLOOKUP(B214,'Lookup Tables'!$AK$22:$AM$24,2,0)</f>
        <v>0</v>
      </c>
      <c r="AZ237" s="12"/>
      <c r="BA237" s="307"/>
      <c r="BB237" s="358"/>
      <c r="BC237" s="12"/>
      <c r="BD237" s="285"/>
      <c r="BE237" s="15"/>
    </row>
    <row r="238" spans="1:58" ht="13.5" customHeight="1" x14ac:dyDescent="0.25">
      <c r="A238" s="145"/>
      <c r="B238" s="12"/>
      <c r="C238" s="114"/>
      <c r="D238" s="12"/>
      <c r="E238" s="12"/>
      <c r="F238" s="12"/>
      <c r="G238" s="12"/>
      <c r="H238" s="12"/>
      <c r="I238" s="12">
        <f>G220</f>
        <v>12</v>
      </c>
      <c r="J238" s="125">
        <f>J237</f>
        <v>9</v>
      </c>
      <c r="K238" s="758">
        <f t="shared" ref="K238:K239" si="9">I238-J238</f>
        <v>3</v>
      </c>
      <c r="L238" s="123">
        <f>V238</f>
        <v>0</v>
      </c>
      <c r="M238" s="609">
        <f t="shared" ref="M238:M239" si="10">IF(M241&lt;=0,0,ROUNDUP(M241,0))</f>
        <v>3</v>
      </c>
      <c r="N238" s="161">
        <f>'Rate Tables'!$P$18</f>
        <v>910</v>
      </c>
      <c r="O238" s="136">
        <f>(M238*N238)*F233*M233</f>
        <v>0</v>
      </c>
      <c r="P238" s="12"/>
      <c r="Q238" s="12"/>
      <c r="R238" s="12"/>
      <c r="S238" s="12"/>
      <c r="T238" s="12"/>
      <c r="U238" s="12"/>
      <c r="V238" s="12">
        <f>VLOOKUP((U233*V233),'Lookup Tables'!$E$38:$F$103,2,0)</f>
        <v>0</v>
      </c>
      <c r="W238" s="12">
        <f>K238-(M238*M233)</f>
        <v>3</v>
      </c>
      <c r="X238" s="119">
        <f>AG238</f>
        <v>0</v>
      </c>
      <c r="Y238" s="609">
        <f t="shared" ref="Y238:Y239" si="11">IF(Y241&lt;=0,0,ROUNDUP(Y241,0))</f>
        <v>3</v>
      </c>
      <c r="Z238" s="129">
        <f>'Rate Tables'!$P$19</f>
        <v>910</v>
      </c>
      <c r="AA238" s="136">
        <f>Y238*Z238*F233*V233</f>
        <v>0</v>
      </c>
      <c r="AB238" s="12"/>
      <c r="AC238" s="12"/>
      <c r="AD238" s="12"/>
      <c r="AE238" s="12"/>
      <c r="AF238" s="12"/>
      <c r="AG238" s="12">
        <f>VLOOKUP(AH233,'Lookup Tables'!$E$38:$F$103,2,0)</f>
        <v>0</v>
      </c>
      <c r="AH238" s="125">
        <f>W238-(Y238*V233)</f>
        <v>3</v>
      </c>
      <c r="AI238" s="119">
        <f>AR238</f>
        <v>0</v>
      </c>
      <c r="AJ238" s="609">
        <f t="shared" ref="AJ238:AJ239" si="12">IF(AJ241&lt;=0,0,ROUNDUP(AJ241,0))</f>
        <v>3</v>
      </c>
      <c r="AK238" s="129">
        <f>'Rate Tables'!$P$20</f>
        <v>928.2</v>
      </c>
      <c r="AL238" s="136">
        <f>AJ238*AK238*F233*AI233</f>
        <v>0</v>
      </c>
      <c r="AN238" s="19"/>
      <c r="AO238" s="19"/>
      <c r="AP238" s="19"/>
      <c r="AQ238" s="19"/>
      <c r="AR238" s="12">
        <f>VLOOKUP((AS233*AT233),'Lookup Tables'!$E$38:$F$103,2,0)</f>
        <v>0</v>
      </c>
      <c r="AS238" s="125">
        <f>AH238-(AJ238*AI233)</f>
        <v>3</v>
      </c>
      <c r="AT238" s="119">
        <v>0</v>
      </c>
      <c r="AU238" s="609">
        <f t="shared" ref="AU238:AU239" si="13">IF(AU241&lt;=0,0,ROUNDUP(AU241,0))</f>
        <v>3</v>
      </c>
      <c r="AV238" s="129">
        <f>'Rate Tables'!$P$21</f>
        <v>946.76</v>
      </c>
      <c r="AW238" s="737">
        <f>AU238*AV238*F233*AT233</f>
        <v>0</v>
      </c>
      <c r="AX238" s="19"/>
      <c r="AY238" s="19"/>
      <c r="AZ238" s="12"/>
      <c r="BA238" s="307"/>
      <c r="BB238" s="349"/>
      <c r="BC238" s="12"/>
      <c r="BD238" s="285"/>
      <c r="BE238" s="15"/>
    </row>
    <row r="239" spans="1:58" ht="13.5" customHeight="1" x14ac:dyDescent="0.25">
      <c r="A239" s="145"/>
      <c r="B239" s="12"/>
      <c r="C239" s="114"/>
      <c r="D239" s="12"/>
      <c r="E239" s="12"/>
      <c r="F239" s="12"/>
      <c r="G239" s="12"/>
      <c r="H239" s="12"/>
      <c r="I239" s="12">
        <f>G222</f>
        <v>12</v>
      </c>
      <c r="J239" s="125">
        <f>J238</f>
        <v>9</v>
      </c>
      <c r="K239" s="758">
        <f t="shared" si="9"/>
        <v>3</v>
      </c>
      <c r="L239" s="123">
        <f>V239</f>
        <v>0</v>
      </c>
      <c r="M239" s="609">
        <f t="shared" si="10"/>
        <v>3</v>
      </c>
      <c r="N239" s="161">
        <f>'Rate Tables'!$P$19</f>
        <v>910</v>
      </c>
      <c r="O239" s="136">
        <f>(M239*N239)*F235*M235</f>
        <v>0</v>
      </c>
      <c r="P239" s="12"/>
      <c r="Q239" s="12"/>
      <c r="R239" s="12"/>
      <c r="S239" s="12"/>
      <c r="T239" s="12"/>
      <c r="U239" s="12"/>
      <c r="V239" s="12">
        <f>VLOOKUP((U235*V235),'Lookup Tables'!$E$38:$F$103,2,0)</f>
        <v>0</v>
      </c>
      <c r="W239" s="12">
        <f>K239-(M239*M235)</f>
        <v>3</v>
      </c>
      <c r="X239" s="119">
        <f>AG239</f>
        <v>0</v>
      </c>
      <c r="Y239" s="609">
        <f t="shared" si="11"/>
        <v>3</v>
      </c>
      <c r="Z239" s="129">
        <f>'Rate Tables'!$P$20</f>
        <v>928.2</v>
      </c>
      <c r="AA239" s="136">
        <f>Y239*Z239*F235*V235</f>
        <v>0</v>
      </c>
      <c r="AB239" s="12"/>
      <c r="AC239" s="12"/>
      <c r="AD239" s="12"/>
      <c r="AE239" s="12"/>
      <c r="AF239" s="12"/>
      <c r="AG239" s="12">
        <f>VLOOKUP(AH235,'Lookup Tables'!$E$38:$F$103,2,0)</f>
        <v>0</v>
      </c>
      <c r="AH239" s="125">
        <f>W239-(Y239*V235)</f>
        <v>3</v>
      </c>
      <c r="AI239" s="119">
        <f>AR239</f>
        <v>0</v>
      </c>
      <c r="AJ239" s="609">
        <f t="shared" si="12"/>
        <v>3</v>
      </c>
      <c r="AK239" s="129">
        <f>'Rate Tables'!$P$21</f>
        <v>946.76</v>
      </c>
      <c r="AL239" s="736">
        <f>AJ239*AK239*F235*AI235</f>
        <v>0</v>
      </c>
      <c r="AN239" s="19"/>
      <c r="AO239" s="19"/>
      <c r="AP239" s="19"/>
      <c r="AQ239" s="19"/>
      <c r="AR239" s="12">
        <f>VLOOKUP((AS235*AT235),'Lookup Tables'!$E$38:$F$103,2,0)</f>
        <v>0</v>
      </c>
      <c r="AS239" s="123">
        <f>AH239-(AJ239*AI235)</f>
        <v>3</v>
      </c>
      <c r="AT239" s="119">
        <v>0</v>
      </c>
      <c r="AU239" s="609">
        <f t="shared" si="13"/>
        <v>3</v>
      </c>
      <c r="AV239" s="129">
        <f>'Rate Tables'!$P$22</f>
        <v>965.7</v>
      </c>
      <c r="AW239" s="136">
        <f>AU239*AV239*F235*AT235</f>
        <v>0</v>
      </c>
      <c r="AX239" s="19"/>
      <c r="AY239" s="19"/>
      <c r="AZ239" s="12"/>
      <c r="BA239" s="307"/>
      <c r="BB239" s="349"/>
      <c r="BC239" s="12"/>
      <c r="BD239" s="285"/>
      <c r="BE239" s="15"/>
    </row>
    <row r="240" spans="1:58" ht="13.5" customHeight="1" x14ac:dyDescent="0.25">
      <c r="A240" s="145"/>
      <c r="B240" s="12"/>
      <c r="C240" s="114"/>
      <c r="D240" s="12"/>
      <c r="E240" s="12"/>
      <c r="F240" s="12"/>
      <c r="G240" s="12"/>
      <c r="H240" s="12"/>
      <c r="I240" s="12"/>
      <c r="J240" s="12"/>
      <c r="K240" s="12"/>
      <c r="L240" s="123"/>
      <c r="M240" s="648">
        <f>K237-L237</f>
        <v>3</v>
      </c>
      <c r="N240" s="161"/>
      <c r="O240" s="125"/>
      <c r="P240" s="12"/>
      <c r="Q240" s="12"/>
      <c r="R240" s="12"/>
      <c r="S240" s="12"/>
      <c r="T240" s="12"/>
      <c r="U240" s="12"/>
      <c r="V240" s="12"/>
      <c r="W240" s="12"/>
      <c r="X240" s="119"/>
      <c r="Y240" s="651">
        <f>W237-X237</f>
        <v>3</v>
      </c>
      <c r="Z240" s="129"/>
      <c r="AA240" s="125"/>
      <c r="AB240" s="12"/>
      <c r="AC240" s="12"/>
      <c r="AD240" s="12"/>
      <c r="AE240" s="12"/>
      <c r="AF240" s="12"/>
      <c r="AG240" s="12"/>
      <c r="AH240" s="125"/>
      <c r="AI240" s="119"/>
      <c r="AJ240" s="651">
        <f>AH237-AI237</f>
        <v>3</v>
      </c>
      <c r="AK240" s="129"/>
      <c r="AL240" s="125"/>
      <c r="AN240" s="19"/>
      <c r="AO240" s="19"/>
      <c r="AP240" s="19"/>
      <c r="AQ240" s="19"/>
      <c r="AR240" s="12"/>
      <c r="AS240" s="125"/>
      <c r="AT240" s="119"/>
      <c r="AU240" s="735">
        <f>AS237-AT237</f>
        <v>3</v>
      </c>
      <c r="AV240" s="129"/>
      <c r="AW240" s="125"/>
      <c r="AX240" s="19"/>
      <c r="AY240" s="19"/>
      <c r="AZ240" s="12"/>
      <c r="BA240" s="307"/>
      <c r="BB240" s="349"/>
      <c r="BC240" s="12"/>
      <c r="BD240" s="285"/>
      <c r="BE240" s="15"/>
    </row>
    <row r="241" spans="1:57" ht="13.5" customHeight="1" x14ac:dyDescent="0.25">
      <c r="A241" s="145"/>
      <c r="B241" s="12"/>
      <c r="C241" s="114"/>
      <c r="D241" s="12"/>
      <c r="E241" s="12"/>
      <c r="F241" s="12"/>
      <c r="G241" s="12" t="s">
        <v>584</v>
      </c>
      <c r="H241" s="12"/>
      <c r="I241" s="12"/>
      <c r="J241" s="12"/>
      <c r="K241" s="12"/>
      <c r="L241" s="123"/>
      <c r="M241" s="648">
        <f>K238-L238</f>
        <v>3</v>
      </c>
      <c r="N241" s="161"/>
      <c r="O241" s="125"/>
      <c r="P241" s="12"/>
      <c r="Q241" s="12"/>
      <c r="R241" s="12"/>
      <c r="S241" s="12"/>
      <c r="T241" s="12"/>
      <c r="U241" s="12"/>
      <c r="V241" s="12"/>
      <c r="W241" s="12"/>
      <c r="X241" s="119"/>
      <c r="Y241" s="651">
        <f>W238-X238</f>
        <v>3</v>
      </c>
      <c r="Z241" s="129"/>
      <c r="AA241" s="125"/>
      <c r="AB241" s="12"/>
      <c r="AC241" s="12"/>
      <c r="AD241" s="12"/>
      <c r="AE241" s="12"/>
      <c r="AF241" s="12"/>
      <c r="AG241" s="12"/>
      <c r="AH241" s="125"/>
      <c r="AI241" s="119"/>
      <c r="AJ241" s="651">
        <f>AH238-AI238</f>
        <v>3</v>
      </c>
      <c r="AK241" s="129"/>
      <c r="AL241" s="125"/>
      <c r="AN241" s="19"/>
      <c r="AO241" s="19"/>
      <c r="AP241" s="19"/>
      <c r="AQ241" s="19"/>
      <c r="AR241" s="12"/>
      <c r="AS241" s="125"/>
      <c r="AT241" s="119"/>
      <c r="AU241" s="651">
        <f>AS238-AT238</f>
        <v>3</v>
      </c>
      <c r="AV241" s="129"/>
      <c r="AW241" s="125"/>
      <c r="AX241" s="19"/>
      <c r="AY241" s="19"/>
      <c r="AZ241" s="12"/>
      <c r="BA241" s="307"/>
      <c r="BB241" s="349"/>
      <c r="BC241" s="12"/>
      <c r="BD241" s="285"/>
      <c r="BE241" s="15"/>
    </row>
    <row r="242" spans="1:57" ht="13.5" customHeight="1" x14ac:dyDescent="0.25">
      <c r="A242" s="145"/>
      <c r="B242" s="162"/>
      <c r="C242" s="115">
        <f>(B216*12)*2</f>
        <v>0</v>
      </c>
      <c r="D242" s="115"/>
      <c r="E242" s="126"/>
      <c r="F242" s="126"/>
      <c r="G242" s="12"/>
      <c r="H242" s="12"/>
      <c r="I242" s="12"/>
      <c r="J242" s="12"/>
      <c r="K242" s="12"/>
      <c r="L242" s="12"/>
      <c r="M242" s="648">
        <f>K239-L239</f>
        <v>3</v>
      </c>
      <c r="N242" s="12"/>
      <c r="O242" s="12"/>
      <c r="P242" s="12"/>
      <c r="Q242" s="12"/>
      <c r="R242" s="12"/>
      <c r="S242" s="12"/>
      <c r="T242" s="12"/>
      <c r="U242" s="12"/>
      <c r="V242" s="12"/>
      <c r="W242" s="12"/>
      <c r="X242" s="12"/>
      <c r="Y242" s="652">
        <f>W239-X239</f>
        <v>3</v>
      </c>
      <c r="Z242" s="12"/>
      <c r="AA242" s="12"/>
      <c r="AB242" s="12"/>
      <c r="AC242" s="12"/>
      <c r="AD242" s="12"/>
      <c r="AE242" s="12"/>
      <c r="AF242" s="12"/>
      <c r="AG242" s="12"/>
      <c r="AH242" s="12"/>
      <c r="AI242" s="12"/>
      <c r="AJ242" s="652">
        <f>AH239-AI239</f>
        <v>3</v>
      </c>
      <c r="AK242" s="12"/>
      <c r="AL242" s="12"/>
      <c r="AN242" s="12"/>
      <c r="AO242" s="12"/>
      <c r="AP242" s="12"/>
      <c r="AQ242" s="12"/>
      <c r="AR242" s="12"/>
      <c r="AS242" s="12"/>
      <c r="AT242" s="12"/>
      <c r="AU242" s="652">
        <f>AS239-AT239</f>
        <v>3</v>
      </c>
      <c r="AV242" s="12"/>
      <c r="AW242" s="12"/>
      <c r="AX242" s="12"/>
      <c r="AY242" s="12"/>
      <c r="AZ242" s="12"/>
      <c r="BA242" s="306" t="s">
        <v>413</v>
      </c>
      <c r="BB242" s="348">
        <f>Personnel!O74</f>
        <v>0</v>
      </c>
      <c r="BC242" s="276" t="s">
        <v>416</v>
      </c>
      <c r="BD242" s="285">
        <f>(M244+M246+M248+W244+W246+W248+AI244+AI246+AI248+AT244+AT246+AT248)*AY244</f>
        <v>0</v>
      </c>
      <c r="BE242" s="15"/>
    </row>
    <row r="243" spans="1:57" ht="13.5" customHeight="1" x14ac:dyDescent="0.25">
      <c r="A243" s="145"/>
      <c r="B243" s="12"/>
      <c r="C243" s="117" t="s">
        <v>30</v>
      </c>
      <c r="D243" s="117"/>
      <c r="E243" s="13"/>
      <c r="F243" s="13" t="s">
        <v>42</v>
      </c>
      <c r="G243" s="13" t="s">
        <v>41</v>
      </c>
      <c r="H243" s="65" t="s">
        <v>77</v>
      </c>
      <c r="I243" s="150" t="s">
        <v>50</v>
      </c>
      <c r="J243" s="13" t="s">
        <v>52</v>
      </c>
      <c r="K243" s="13" t="s">
        <v>35</v>
      </c>
      <c r="L243" s="13" t="s">
        <v>82</v>
      </c>
      <c r="M243" s="13" t="s">
        <v>31</v>
      </c>
      <c r="N243" s="13" t="s">
        <v>69</v>
      </c>
      <c r="O243" s="12"/>
      <c r="P243" s="13" t="s">
        <v>72</v>
      </c>
      <c r="Q243" s="65" t="s">
        <v>80</v>
      </c>
      <c r="R243" s="62" t="s">
        <v>81</v>
      </c>
      <c r="S243" s="65" t="s">
        <v>77</v>
      </c>
      <c r="T243" s="674" t="s">
        <v>107</v>
      </c>
      <c r="U243" s="13" t="s">
        <v>53</v>
      </c>
      <c r="V243" s="13" t="s">
        <v>82</v>
      </c>
      <c r="W243" s="13" t="s">
        <v>32</v>
      </c>
      <c r="X243" s="13" t="s">
        <v>69</v>
      </c>
      <c r="Y243" s="12"/>
      <c r="Z243" s="12"/>
      <c r="AA243" s="12"/>
      <c r="AB243" s="13" t="s">
        <v>72</v>
      </c>
      <c r="AC243" s="13" t="s">
        <v>80</v>
      </c>
      <c r="AD243" s="62" t="s">
        <v>81</v>
      </c>
      <c r="AE243" s="65" t="s">
        <v>77</v>
      </c>
      <c r="AF243" s="151" t="s">
        <v>107</v>
      </c>
      <c r="AG243" s="13" t="s">
        <v>78</v>
      </c>
      <c r="AH243" s="13" t="s">
        <v>82</v>
      </c>
      <c r="AI243" s="13" t="s">
        <v>33</v>
      </c>
      <c r="AJ243" s="13" t="s">
        <v>69</v>
      </c>
      <c r="AK243" s="12"/>
      <c r="AL243" s="12"/>
      <c r="AM243" s="13" t="s">
        <v>72</v>
      </c>
      <c r="AN243" s="13" t="s">
        <v>80</v>
      </c>
      <c r="AO243" s="62" t="s">
        <v>81</v>
      </c>
      <c r="AP243" s="65" t="s">
        <v>77</v>
      </c>
      <c r="AQ243" s="151" t="s">
        <v>107</v>
      </c>
      <c r="AR243" s="13" t="s">
        <v>78</v>
      </c>
      <c r="AS243" s="13" t="s">
        <v>82</v>
      </c>
      <c r="AT243" s="13" t="s">
        <v>33</v>
      </c>
      <c r="AU243" s="13" t="s">
        <v>69</v>
      </c>
      <c r="AV243" s="13"/>
      <c r="AW243" s="13"/>
      <c r="AX243" s="13"/>
      <c r="AY243" s="13" t="s">
        <v>159</v>
      </c>
      <c r="AZ243" s="12"/>
      <c r="BA243" s="227"/>
      <c r="BB243" s="12"/>
      <c r="BC243" s="12"/>
      <c r="BD243" s="285"/>
      <c r="BE243" s="15"/>
    </row>
    <row r="244" spans="1:57" ht="13.5" customHeight="1" x14ac:dyDescent="0.25">
      <c r="A244" s="145"/>
      <c r="B244" s="12"/>
      <c r="C244" s="115"/>
      <c r="D244" s="115"/>
      <c r="E244" s="152">
        <f>BB242</f>
        <v>0</v>
      </c>
      <c r="F244" s="19">
        <f>IF($D$4=2022,1,0)</f>
        <v>0</v>
      </c>
      <c r="G244" s="178">
        <f>IF($B252="Yes",$C$5,$I251)</f>
        <v>12</v>
      </c>
      <c r="H244" s="36">
        <f>VLOOKUP(H250,'Lookup Tables'!$A$22:$B$33,2,FALSE)</f>
        <v>3</v>
      </c>
      <c r="I244" s="192">
        <f>VLOOKUP($E$4,'Lookup Tables'!$AB$46:$AN$58,MATCH($H244,'Lookup Tables'!$AB$46:$AN$46),FALSE)</f>
        <v>12</v>
      </c>
      <c r="J244" s="19">
        <f>12-I244</f>
        <v>0</v>
      </c>
      <c r="K244" s="19">
        <f>IF(G244&lt;J244,G244,J244)</f>
        <v>0</v>
      </c>
      <c r="L244" s="195">
        <f>IF(12-I244&gt;=1,1,0)</f>
        <v>0</v>
      </c>
      <c r="M244" s="20">
        <f>((('Rate Tables'!$B99*$E244)*PersonCalcYr2!$K244)*L244)*$F244</f>
        <v>0</v>
      </c>
      <c r="N244" s="8">
        <f>G244-(J244*L244)</f>
        <v>12</v>
      </c>
      <c r="O244" s="12"/>
      <c r="P244" s="8">
        <f>IF(N244&lt;0,N244*0,1)*N244</f>
        <v>12</v>
      </c>
      <c r="Q244" s="120">
        <f>VLOOKUP($H250,'Lookup Tables'!$A$22:$B$33,2,FALSE)+(K244*L244)</f>
        <v>3</v>
      </c>
      <c r="R244" s="121" t="str">
        <f>VLOOKUP(Q244,'Lookup Tables'!$A$38:$B$151,2,FALSE)</f>
        <v>Sept</v>
      </c>
      <c r="S244" s="36">
        <f>VLOOKUP(R244,'Lookup Tables'!$A$22:$B$33,2,FALSE)</f>
        <v>3</v>
      </c>
      <c r="T244" s="672">
        <f>VLOOKUP($E$4,'Lookup Tables'!$AQ$46:$BC$58,MATCH(PersonCalcYr2!$S244,'Lookup Tables'!$AQ$46:$BC$46),FALSE)</f>
        <v>10</v>
      </c>
      <c r="U244" s="19">
        <f>IF(P244&lt;T244,P244,T244)</f>
        <v>10</v>
      </c>
      <c r="V244" s="119">
        <f>IF((U244)&lt;=0,0,1)</f>
        <v>1</v>
      </c>
      <c r="W244" s="20">
        <f>(('Rate Tables'!$C99*$E244)*PersonCalcYr2!$U244)*$V244*$F244</f>
        <v>0</v>
      </c>
      <c r="X244" s="8">
        <f>P244-(U244*V244)</f>
        <v>2</v>
      </c>
      <c r="Y244" s="12"/>
      <c r="Z244" s="12"/>
      <c r="AA244" s="12"/>
      <c r="AB244" s="19">
        <f>X244</f>
        <v>2</v>
      </c>
      <c r="AC244" s="123">
        <f>AC218</f>
        <v>13</v>
      </c>
      <c r="AD244" s="121" t="str">
        <f>VLOOKUP(AC244,'Lookup Tables'!$A$38:$B$151,2,FALSE)</f>
        <v>July</v>
      </c>
      <c r="AE244" s="36">
        <f>VLOOKUP(AD244,'Lookup Tables'!$A$22:$B$33,2,FALSE)</f>
        <v>1</v>
      </c>
      <c r="AF244" s="87">
        <f>VLOOKUP($AE244,'Lookup Tables'!$AC$3:$AW$16,MATCH(PersonCalcYr2!$AB244,'Lookup Tables'!$AC$3:$AW$3),FALSE)</f>
        <v>2</v>
      </c>
      <c r="AG244" s="19">
        <f>IF(AB244&lt;AF244,AB244,AF244)</f>
        <v>2</v>
      </c>
      <c r="AH244" s="119">
        <f>IF((AG244)&lt;=0,0,1)</f>
        <v>1</v>
      </c>
      <c r="AI244" s="20">
        <f>(('Rate Tables'!$D99*$E244)*PersonCalcYr2!AG244)*AH244*$F244</f>
        <v>0</v>
      </c>
      <c r="AJ244" s="8">
        <f>AB244-(AG244*AH244)</f>
        <v>0</v>
      </c>
      <c r="AK244" s="12"/>
      <c r="AL244" s="12"/>
      <c r="AM244" s="19">
        <f>AJ244</f>
        <v>0</v>
      </c>
      <c r="AN244" s="123">
        <f>AN218</f>
        <v>3</v>
      </c>
      <c r="AO244" s="121" t="str">
        <f>VLOOKUP(AN244,'Lookup Tables'!$A$38:$B$151,2,FALSE)</f>
        <v>Sept</v>
      </c>
      <c r="AP244" s="36">
        <f>VLOOKUP(AO244,'Lookup Tables'!$A$22:$B$33,2,FALSE)</f>
        <v>3</v>
      </c>
      <c r="AQ244" s="87">
        <f>VLOOKUP($AP244,'Lookup Tables'!$AC$3:$AW$16,MATCH(PersonCalcYr2!$AM244,'Lookup Tables'!$AC$3:$AW$3),FALSE)</f>
        <v>0</v>
      </c>
      <c r="AR244" s="19">
        <f>IF(AM244&lt;AQ244,AM244,AQ244)</f>
        <v>0</v>
      </c>
      <c r="AS244" s="119">
        <f>IF((AR244)&lt;=0,0,1)</f>
        <v>0</v>
      </c>
      <c r="AT244" s="20">
        <f>(('Rate Tables'!$E99*$E244)*PersonCalcYr2!AR244)*AS244*$F244</f>
        <v>0</v>
      </c>
      <c r="AU244" s="8">
        <f>AM244-(AR244*AS244)</f>
        <v>0</v>
      </c>
      <c r="AV244" s="19"/>
      <c r="AW244" s="19"/>
      <c r="AX244" s="19"/>
      <c r="AY244" s="19">
        <f>VLOOKUP(B214,'Lookup Tables'!$AK$22:$AM$24,3,0)</f>
        <v>1</v>
      </c>
      <c r="AZ244" s="12"/>
      <c r="BA244" s="227"/>
      <c r="BB244" s="12"/>
      <c r="BC244" s="276" t="s">
        <v>188</v>
      </c>
      <c r="BD244" s="285">
        <f>BD242*'Rate Tables'!P$8</f>
        <v>0</v>
      </c>
      <c r="BE244" s="15"/>
    </row>
    <row r="245" spans="1:57" ht="13.5" customHeight="1" x14ac:dyDescent="0.25">
      <c r="A245" s="145"/>
      <c r="B245" s="12"/>
      <c r="C245" s="117" t="s">
        <v>597</v>
      </c>
      <c r="D245" s="117"/>
      <c r="E245" s="13"/>
      <c r="F245" s="13" t="s">
        <v>42</v>
      </c>
      <c r="G245" s="13" t="s">
        <v>41</v>
      </c>
      <c r="H245" s="65" t="s">
        <v>77</v>
      </c>
      <c r="I245" s="150" t="s">
        <v>51</v>
      </c>
      <c r="J245" s="13" t="s">
        <v>110</v>
      </c>
      <c r="K245" s="13" t="s">
        <v>53</v>
      </c>
      <c r="L245" s="13" t="s">
        <v>82</v>
      </c>
      <c r="M245" s="13" t="s">
        <v>32</v>
      </c>
      <c r="N245" s="13" t="s">
        <v>69</v>
      </c>
      <c r="O245" s="12"/>
      <c r="P245" s="13" t="s">
        <v>72</v>
      </c>
      <c r="Q245" s="65" t="s">
        <v>80</v>
      </c>
      <c r="R245" s="62" t="s">
        <v>81</v>
      </c>
      <c r="S245" s="65" t="s">
        <v>77</v>
      </c>
      <c r="T245" s="674" t="s">
        <v>107</v>
      </c>
      <c r="U245" s="13" t="s">
        <v>78</v>
      </c>
      <c r="V245" s="13" t="s">
        <v>82</v>
      </c>
      <c r="W245" s="13" t="s">
        <v>33</v>
      </c>
      <c r="X245" s="13" t="s">
        <v>69</v>
      </c>
      <c r="Y245" s="12"/>
      <c r="Z245" s="12"/>
      <c r="AA245" s="12"/>
      <c r="AB245" s="13" t="s">
        <v>72</v>
      </c>
      <c r="AC245" s="13" t="s">
        <v>80</v>
      </c>
      <c r="AD245" s="62" t="s">
        <v>81</v>
      </c>
      <c r="AE245" s="65" t="s">
        <v>77</v>
      </c>
      <c r="AF245" s="151" t="s">
        <v>107</v>
      </c>
      <c r="AG245" s="13" t="s">
        <v>79</v>
      </c>
      <c r="AH245" s="13" t="s">
        <v>82</v>
      </c>
      <c r="AI245" s="13" t="s">
        <v>34</v>
      </c>
      <c r="AJ245" s="13" t="s">
        <v>69</v>
      </c>
      <c r="AK245" s="12"/>
      <c r="AL245" s="12"/>
      <c r="AM245" s="13" t="s">
        <v>72</v>
      </c>
      <c r="AN245" s="13" t="s">
        <v>80</v>
      </c>
      <c r="AO245" s="62" t="s">
        <v>81</v>
      </c>
      <c r="AP245" s="65" t="s">
        <v>77</v>
      </c>
      <c r="AQ245" s="151" t="s">
        <v>107</v>
      </c>
      <c r="AR245" s="13" t="s">
        <v>79</v>
      </c>
      <c r="AS245" s="13" t="s">
        <v>82</v>
      </c>
      <c r="AT245" s="13" t="s">
        <v>34</v>
      </c>
      <c r="AU245" s="13" t="s">
        <v>69</v>
      </c>
      <c r="AV245" s="13"/>
      <c r="AW245" s="13"/>
      <c r="AX245" s="13"/>
      <c r="AY245" s="13"/>
      <c r="AZ245" s="12"/>
      <c r="BA245" s="311"/>
      <c r="BB245" s="12"/>
      <c r="BC245" s="12"/>
      <c r="BD245" s="285"/>
      <c r="BE245" s="15"/>
    </row>
    <row r="246" spans="1:57" ht="13.5" customHeight="1" x14ac:dyDescent="0.25">
      <c r="A246" s="145"/>
      <c r="B246" s="12"/>
      <c r="C246" s="115"/>
      <c r="D246" s="115"/>
      <c r="E246" s="152">
        <f>BB242</f>
        <v>0</v>
      </c>
      <c r="F246" s="19">
        <f>IF($D$4=2023,1,0)</f>
        <v>1</v>
      </c>
      <c r="G246" s="178">
        <f>IF($B252="Yes",$C$5,$I251)</f>
        <v>12</v>
      </c>
      <c r="H246" s="36">
        <f>VLOOKUP(H250,'Lookup Tables'!$A$22:$B$33,2,FALSE)</f>
        <v>3</v>
      </c>
      <c r="I246" s="192">
        <f>VLOOKUP($E$4,'Lookup Tables'!$AB$46:$AN$58,MATCH($H246,'Lookup Tables'!$AB$46:$AN$46),FALSE)</f>
        <v>12</v>
      </c>
      <c r="J246" s="19">
        <f>12-I246</f>
        <v>0</v>
      </c>
      <c r="K246" s="19">
        <f>IF(G246&lt;J246,G246,J246)</f>
        <v>0</v>
      </c>
      <c r="L246" s="195">
        <f>IF(12-I246&gt;=1,1,0)</f>
        <v>0</v>
      </c>
      <c r="M246" s="20">
        <f>((('Rate Tables'!$C99*$E246)*PersonCalcYr2!$K246)*L246)*$F246</f>
        <v>0</v>
      </c>
      <c r="N246" s="8">
        <f>G246-(J246*L246)</f>
        <v>12</v>
      </c>
      <c r="O246" s="12"/>
      <c r="P246" s="8">
        <f>IF(N246&lt;0,N246*0,1)*N246</f>
        <v>12</v>
      </c>
      <c r="Q246" s="120">
        <f>VLOOKUP($H250,'Lookup Tables'!$A$22:$B$33,2,FALSE)+(K246*L246)</f>
        <v>3</v>
      </c>
      <c r="R246" s="121" t="str">
        <f>VLOOKUP(Q246,'Lookup Tables'!$A$38:$B$151,2,FALSE)</f>
        <v>Sept</v>
      </c>
      <c r="S246" s="36">
        <f>VLOOKUP(R246,'Lookup Tables'!$A$22:$B$33,2,FALSE)</f>
        <v>3</v>
      </c>
      <c r="T246" s="672">
        <f>VLOOKUP($E$4,'Lookup Tables'!$AQ$46:$BC$58,MATCH(PersonCalcYr2!$S246,'Lookup Tables'!$AQ$46:$BC$46),FALSE)</f>
        <v>10</v>
      </c>
      <c r="U246" s="19">
        <f>IF(P246&lt;T246,P246,T246)</f>
        <v>10</v>
      </c>
      <c r="V246" s="119">
        <f>IF((U246)&lt;=0,0,1)</f>
        <v>1</v>
      </c>
      <c r="W246" s="20">
        <f>(('Rate Tables'!$D99*$E246)*PersonCalcYr2!$U246)*$V246*$F246</f>
        <v>0</v>
      </c>
      <c r="X246" s="8">
        <f>P246-(U246*V246)</f>
        <v>2</v>
      </c>
      <c r="Y246" s="12"/>
      <c r="Z246" s="12"/>
      <c r="AA246" s="12"/>
      <c r="AB246" s="19">
        <f>X246</f>
        <v>2</v>
      </c>
      <c r="AC246" s="123">
        <f>AC220</f>
        <v>13</v>
      </c>
      <c r="AD246" s="121" t="str">
        <f>VLOOKUP(AC246,'Lookup Tables'!$A$38:$B$151,2,FALSE)</f>
        <v>July</v>
      </c>
      <c r="AE246" s="36">
        <f>VLOOKUP(AD246,'Lookup Tables'!$A$22:$B$33,2,FALSE)</f>
        <v>1</v>
      </c>
      <c r="AF246" s="87">
        <f>VLOOKUP($AE246,'Lookup Tables'!$AC$3:$AW$16,MATCH(PersonCalcYr2!$AB246,'Lookup Tables'!$AC$3:$AW$3),FALSE)</f>
        <v>2</v>
      </c>
      <c r="AG246" s="19">
        <f>IF(AB246&lt;AF246,AB246,AF246)</f>
        <v>2</v>
      </c>
      <c r="AH246" s="119">
        <f>IF((AG246)&lt;=0,0,1)</f>
        <v>1</v>
      </c>
      <c r="AI246" s="20">
        <f>(('Rate Tables'!$E99*$E246)*PersonCalcYr2!AG246)*AH246*$F246</f>
        <v>0</v>
      </c>
      <c r="AJ246" s="8">
        <f>AB246-(AG246*AH246)</f>
        <v>0</v>
      </c>
      <c r="AK246" s="12"/>
      <c r="AL246" s="12"/>
      <c r="AM246" s="19">
        <f>AJ246</f>
        <v>0</v>
      </c>
      <c r="AN246" s="123">
        <f>AN220</f>
        <v>3</v>
      </c>
      <c r="AO246" s="121" t="str">
        <f>VLOOKUP(AN246,'Lookup Tables'!$A$38:$B$151,2,FALSE)</f>
        <v>Sept</v>
      </c>
      <c r="AP246" s="36">
        <f>VLOOKUP(AO246,'Lookup Tables'!$A$22:$B$33,2,FALSE)</f>
        <v>3</v>
      </c>
      <c r="AQ246" s="87">
        <f>VLOOKUP($AP246,'Lookup Tables'!$AC$3:$AW$16,MATCH(PersonCalcYr2!$AM246,'Lookup Tables'!$AC$3:$AW$3),FALSE)</f>
        <v>0</v>
      </c>
      <c r="AR246" s="19">
        <f>IF(AM246&lt;AQ246,AM246,AQ246)</f>
        <v>0</v>
      </c>
      <c r="AS246" s="119">
        <f>IF((AR246)&lt;=0,0,1)</f>
        <v>0</v>
      </c>
      <c r="AT246" s="20">
        <f>(('Rate Tables'!$F99*$E246)*PersonCalcYr2!AR246)*AS246*$F246</f>
        <v>0</v>
      </c>
      <c r="AU246" s="8">
        <f>AM246-(AR246*AS246)</f>
        <v>0</v>
      </c>
      <c r="AV246" s="20"/>
      <c r="AW246" s="20"/>
      <c r="AX246" s="20"/>
      <c r="AY246" s="20"/>
      <c r="AZ246" s="12"/>
      <c r="BA246" s="311"/>
      <c r="BB246" s="349" t="s">
        <v>643</v>
      </c>
      <c r="BC246" s="276" t="s">
        <v>136</v>
      </c>
      <c r="BD246" s="285">
        <f>(((O250+O251+O252+AA250+AA251+AA252+AL250+AL251+AL252+AW250+AW251+AW252)*AY250)*BD247)*BB249</f>
        <v>0</v>
      </c>
      <c r="BE246" s="12" t="s">
        <v>418</v>
      </c>
    </row>
    <row r="247" spans="1:57" ht="13.5" customHeight="1" x14ac:dyDescent="0.25">
      <c r="A247" s="145"/>
      <c r="B247" s="12"/>
      <c r="C247" s="117" t="s">
        <v>664</v>
      </c>
      <c r="D247" s="117"/>
      <c r="E247" s="13"/>
      <c r="F247" s="13" t="s">
        <v>42</v>
      </c>
      <c r="G247" s="13" t="s">
        <v>41</v>
      </c>
      <c r="H247" s="65" t="s">
        <v>77</v>
      </c>
      <c r="I247" s="150" t="s">
        <v>51</v>
      </c>
      <c r="J247" s="13" t="s">
        <v>110</v>
      </c>
      <c r="K247" s="13" t="s">
        <v>53</v>
      </c>
      <c r="L247" s="13" t="s">
        <v>82</v>
      </c>
      <c r="M247" s="13" t="s">
        <v>32</v>
      </c>
      <c r="N247" s="13" t="s">
        <v>69</v>
      </c>
      <c r="O247" s="12"/>
      <c r="P247" s="13" t="s">
        <v>72</v>
      </c>
      <c r="Q247" s="65" t="s">
        <v>80</v>
      </c>
      <c r="R247" s="62" t="s">
        <v>81</v>
      </c>
      <c r="S247" s="65" t="s">
        <v>77</v>
      </c>
      <c r="T247" s="674" t="s">
        <v>107</v>
      </c>
      <c r="U247" s="13" t="s">
        <v>78</v>
      </c>
      <c r="V247" s="13" t="s">
        <v>82</v>
      </c>
      <c r="W247" s="13" t="s">
        <v>33</v>
      </c>
      <c r="X247" s="13" t="s">
        <v>69</v>
      </c>
      <c r="Y247" s="12"/>
      <c r="Z247" s="12"/>
      <c r="AA247" s="12"/>
      <c r="AB247" s="13" t="s">
        <v>72</v>
      </c>
      <c r="AC247" s="13" t="s">
        <v>80</v>
      </c>
      <c r="AD247" s="62" t="s">
        <v>81</v>
      </c>
      <c r="AE247" s="65" t="s">
        <v>77</v>
      </c>
      <c r="AF247" s="151" t="s">
        <v>107</v>
      </c>
      <c r="AG247" s="13" t="s">
        <v>79</v>
      </c>
      <c r="AH247" s="13" t="s">
        <v>82</v>
      </c>
      <c r="AI247" s="13" t="s">
        <v>34</v>
      </c>
      <c r="AJ247" s="13" t="s">
        <v>69</v>
      </c>
      <c r="AK247" s="12"/>
      <c r="AL247" s="12"/>
      <c r="AM247" s="13" t="s">
        <v>72</v>
      </c>
      <c r="AN247" s="13" t="s">
        <v>80</v>
      </c>
      <c r="AO247" s="62" t="s">
        <v>81</v>
      </c>
      <c r="AP247" s="65" t="s">
        <v>77</v>
      </c>
      <c r="AQ247" s="151" t="s">
        <v>107</v>
      </c>
      <c r="AR247" s="13" t="s">
        <v>79</v>
      </c>
      <c r="AS247" s="13" t="s">
        <v>82</v>
      </c>
      <c r="AT247" s="13" t="s">
        <v>34</v>
      </c>
      <c r="AU247" s="13" t="s">
        <v>69</v>
      </c>
      <c r="AV247" s="20"/>
      <c r="AW247" s="20"/>
      <c r="AX247" s="20"/>
      <c r="AY247" s="20"/>
      <c r="AZ247" s="12"/>
      <c r="BA247" s="311"/>
      <c r="BB247" s="350" t="s">
        <v>644</v>
      </c>
      <c r="BC247" s="227" t="s">
        <v>582</v>
      </c>
      <c r="BD247" s="663">
        <f>IF(BD242&gt;0,1,0)</f>
        <v>0</v>
      </c>
      <c r="BE247" s="12"/>
    </row>
    <row r="248" spans="1:57" ht="13.5" customHeight="1" x14ac:dyDescent="0.25">
      <c r="A248" s="145"/>
      <c r="B248" s="12"/>
      <c r="C248" s="115"/>
      <c r="D248" s="115"/>
      <c r="E248" s="152">
        <f>BB242</f>
        <v>0</v>
      </c>
      <c r="F248" s="19">
        <f>IF($D$4=2024,1,0)</f>
        <v>0</v>
      </c>
      <c r="G248" s="178">
        <f>IF($B252="Yes",$C$5,$I251)</f>
        <v>12</v>
      </c>
      <c r="H248" s="36">
        <f>VLOOKUP(H250,'Lookup Tables'!$A$22:$B$33,2,FALSE)</f>
        <v>3</v>
      </c>
      <c r="I248" s="192">
        <f>VLOOKUP($E$4,'Lookup Tables'!$AB$46:$AN$58,MATCH($H248,'Lookup Tables'!$AB$46:$AN$46),FALSE)</f>
        <v>12</v>
      </c>
      <c r="J248" s="19">
        <f>12-I248</f>
        <v>0</v>
      </c>
      <c r="K248" s="19">
        <f>IF(G248&lt;J248,G248,J248)</f>
        <v>0</v>
      </c>
      <c r="L248" s="195">
        <f>IF(12-I248&gt;=1,1,0)</f>
        <v>0</v>
      </c>
      <c r="M248" s="20">
        <f>((('Rate Tables'!$D99*$E248)*PersonCalcYr2!$K248)*L248)*$F248</f>
        <v>0</v>
      </c>
      <c r="N248" s="8">
        <f>G248-(J248*L248)</f>
        <v>12</v>
      </c>
      <c r="O248" s="12"/>
      <c r="P248" s="8">
        <f>IF(N248&lt;0,N248*0,1)*N248</f>
        <v>12</v>
      </c>
      <c r="Q248" s="120">
        <f>VLOOKUP($H250,'Lookup Tables'!$A$22:$B$33,2,FALSE)+(K248*L248)</f>
        <v>3</v>
      </c>
      <c r="R248" s="121" t="str">
        <f>VLOOKUP(Q248,'Lookup Tables'!$A$38:$B$151,2,FALSE)</f>
        <v>Sept</v>
      </c>
      <c r="S248" s="36">
        <f>VLOOKUP(R248,'Lookup Tables'!$A$22:$B$33,2,FALSE)</f>
        <v>3</v>
      </c>
      <c r="T248" s="672">
        <f>VLOOKUP($E$4,'Lookup Tables'!$AQ$46:$BC$58,MATCH(PersonCalcYr2!$S248,'Lookup Tables'!$AQ$46:$BC$46),FALSE)</f>
        <v>10</v>
      </c>
      <c r="U248" s="19">
        <f>IF(P248&lt;T248,P248,T248)</f>
        <v>10</v>
      </c>
      <c r="V248" s="119">
        <f>IF((U248)&lt;=0,0,1)</f>
        <v>1</v>
      </c>
      <c r="W248" s="20">
        <f>(('Rate Tables'!$E99*$E248)*PersonCalcYr2!$U248)*$V248*$F248</f>
        <v>0</v>
      </c>
      <c r="X248" s="8">
        <f>P248-(U248*V248)</f>
        <v>2</v>
      </c>
      <c r="Y248" s="12"/>
      <c r="Z248" s="12"/>
      <c r="AA248" s="12"/>
      <c r="AB248" s="19">
        <f>X248</f>
        <v>2</v>
      </c>
      <c r="AC248" s="123">
        <f>AC222</f>
        <v>13</v>
      </c>
      <c r="AD248" s="121" t="str">
        <f>VLOOKUP(AC248,'Lookup Tables'!$A$38:$B$151,2,FALSE)</f>
        <v>July</v>
      </c>
      <c r="AE248" s="36">
        <f>VLOOKUP(AD248,'Lookup Tables'!$A$22:$B$33,2,FALSE)</f>
        <v>1</v>
      </c>
      <c r="AF248" s="87">
        <f>VLOOKUP($AE248,'Lookup Tables'!$AC$3:$AW$16,MATCH(PersonCalcYr2!$AB248,'Lookup Tables'!$AC$3:$AW$3),FALSE)</f>
        <v>2</v>
      </c>
      <c r="AG248" s="19">
        <f>IF(AB248&lt;AF248,AB248,AF248)</f>
        <v>2</v>
      </c>
      <c r="AH248" s="119">
        <f>IF((AG248)&lt;=0,0,1)</f>
        <v>1</v>
      </c>
      <c r="AI248" s="20">
        <f>(('Rate Tables'!$F99*$E248)*PersonCalcYr2!AG248)*AH248*$F248</f>
        <v>0</v>
      </c>
      <c r="AJ248" s="8">
        <f>AB248-(AG248*AH248)</f>
        <v>0</v>
      </c>
      <c r="AK248" s="12"/>
      <c r="AL248" s="12"/>
      <c r="AM248" s="19">
        <f>AJ248</f>
        <v>0</v>
      </c>
      <c r="AN248" s="123">
        <f>AN222</f>
        <v>3</v>
      </c>
      <c r="AO248" s="121" t="str">
        <f>VLOOKUP(AN248,'Lookup Tables'!$A$38:$B$151,2,FALSE)</f>
        <v>Sept</v>
      </c>
      <c r="AP248" s="36">
        <f>VLOOKUP(AO248,'Lookup Tables'!$A$22:$B$33,2,FALSE)</f>
        <v>3</v>
      </c>
      <c r="AQ248" s="87">
        <f>VLOOKUP($AP248,'Lookup Tables'!$AC$3:$AW$16,MATCH(PersonCalcYr2!$AM248,'Lookup Tables'!$AC$3:$AW$3),FALSE)</f>
        <v>0</v>
      </c>
      <c r="AR248" s="19">
        <f>IF(AM248&lt;AQ248,AM248,AQ248)</f>
        <v>0</v>
      </c>
      <c r="AS248" s="119">
        <f>IF((AR248)&lt;=0,0,1)</f>
        <v>0</v>
      </c>
      <c r="AT248" s="20">
        <f>(('Rate Tables'!$G99*$E248)*PersonCalcYr2!AR248)*AS248*$F248</f>
        <v>0</v>
      </c>
      <c r="AU248" s="8">
        <f>AM248-(AR248*AS248)</f>
        <v>0</v>
      </c>
      <c r="AV248" s="20"/>
      <c r="AW248" s="20"/>
      <c r="AX248" s="20"/>
      <c r="AY248" s="20"/>
      <c r="AZ248" s="12"/>
      <c r="BA248" s="311"/>
      <c r="BB248" s="358" t="str">
        <f>IF(BB242=50%,"no",Personnel!O78)</f>
        <v>No</v>
      </c>
      <c r="BC248" s="276"/>
      <c r="BD248" s="285"/>
      <c r="BE248" s="12"/>
    </row>
    <row r="249" spans="1:57" ht="13.5" customHeight="1" x14ac:dyDescent="0.25">
      <c r="A249" s="145"/>
      <c r="B249" s="12" t="s">
        <v>127</v>
      </c>
      <c r="C249" s="12"/>
      <c r="D249" s="12"/>
      <c r="E249" s="12"/>
      <c r="F249" s="12"/>
      <c r="G249" s="12"/>
      <c r="H249" s="12"/>
      <c r="I249" s="12"/>
      <c r="J249" s="12"/>
      <c r="K249" s="12"/>
      <c r="L249" s="13"/>
      <c r="M249" s="13" t="s">
        <v>129</v>
      </c>
      <c r="N249" s="13" t="s">
        <v>128</v>
      </c>
      <c r="O249" s="153" t="s">
        <v>130</v>
      </c>
      <c r="P249" s="12"/>
      <c r="Q249" s="12"/>
      <c r="R249" s="12"/>
      <c r="S249" s="12"/>
      <c r="T249" s="12"/>
      <c r="U249" s="12"/>
      <c r="V249" s="12"/>
      <c r="W249" s="12"/>
      <c r="X249" s="12"/>
      <c r="Y249" s="13" t="s">
        <v>129</v>
      </c>
      <c r="Z249" s="13" t="s">
        <v>128</v>
      </c>
      <c r="AA249" s="153" t="s">
        <v>130</v>
      </c>
      <c r="AB249" s="12"/>
      <c r="AC249" s="12"/>
      <c r="AD249" s="12"/>
      <c r="AE249" s="12"/>
      <c r="AF249" s="12"/>
      <c r="AG249" s="12"/>
      <c r="AH249" s="12"/>
      <c r="AI249" s="12"/>
      <c r="AJ249" s="13" t="s">
        <v>129</v>
      </c>
      <c r="AK249" s="13" t="s">
        <v>128</v>
      </c>
      <c r="AL249" s="153" t="s">
        <v>130</v>
      </c>
      <c r="AN249" s="12"/>
      <c r="AO249" s="12"/>
      <c r="AP249" s="12"/>
      <c r="AQ249" s="12"/>
      <c r="AR249" s="12"/>
      <c r="AS249" s="12"/>
      <c r="AT249" s="12"/>
      <c r="AU249" s="13" t="s">
        <v>129</v>
      </c>
      <c r="AV249" s="13" t="s">
        <v>128</v>
      </c>
      <c r="AW249" s="153" t="s">
        <v>130</v>
      </c>
      <c r="AX249" s="13"/>
      <c r="AY249" s="13" t="s">
        <v>159</v>
      </c>
      <c r="AZ249" s="12"/>
      <c r="BA249" s="227"/>
      <c r="BB249" s="349">
        <f>IF(BB248="yes",0.5,1)</f>
        <v>1</v>
      </c>
      <c r="BC249" s="12"/>
      <c r="BD249" s="285"/>
      <c r="BE249" s="372">
        <f>VLOOKUP('F&amp;ARatesCalc'!$B$1,'F&amp;ARatesCalc'!$A$3:$B$5,2,FALSE)</f>
        <v>0.56999999999999995</v>
      </c>
    </row>
    <row r="250" spans="1:57" ht="13.5" customHeight="1" x14ac:dyDescent="0.25">
      <c r="A250" s="145"/>
      <c r="B250" s="12"/>
      <c r="C250" s="12"/>
      <c r="D250" s="12"/>
      <c r="E250" s="12"/>
      <c r="F250" s="12"/>
      <c r="G250" s="178" t="s">
        <v>430</v>
      </c>
      <c r="H250" s="178" t="str">
        <f>IF(B252="yes",$C$4,A254)</f>
        <v>Sept</v>
      </c>
      <c r="I250" s="12"/>
      <c r="J250" s="12"/>
      <c r="K250" s="12"/>
      <c r="L250" s="12"/>
      <c r="M250" s="129">
        <f>'Rate Tables'!$P$17</f>
        <v>910</v>
      </c>
      <c r="N250" s="146">
        <f>(K244*L244)*F244</f>
        <v>0</v>
      </c>
      <c r="O250" s="154">
        <f>M250*N250</f>
        <v>0</v>
      </c>
      <c r="P250" s="12"/>
      <c r="Q250" s="12"/>
      <c r="R250" s="12"/>
      <c r="S250" s="12"/>
      <c r="T250" s="12"/>
      <c r="U250" s="12"/>
      <c r="V250" s="12"/>
      <c r="W250" s="12"/>
      <c r="X250" s="12"/>
      <c r="Y250" s="129">
        <f>'Rate Tables'!$P$18</f>
        <v>910</v>
      </c>
      <c r="Z250" s="146">
        <f>U244*V244*F244</f>
        <v>0</v>
      </c>
      <c r="AA250" s="125">
        <f>Y250*Z250</f>
        <v>0</v>
      </c>
      <c r="AB250" s="12"/>
      <c r="AC250" s="12"/>
      <c r="AD250" s="12"/>
      <c r="AE250" s="12"/>
      <c r="AF250" s="12"/>
      <c r="AG250" s="12"/>
      <c r="AH250" s="12"/>
      <c r="AI250" s="12"/>
      <c r="AJ250" s="129">
        <f>'Rate Tables'!$P$19</f>
        <v>910</v>
      </c>
      <c r="AK250" s="146">
        <f>AG244*AH244*F244</f>
        <v>0</v>
      </c>
      <c r="AL250" s="125">
        <f>AJ250*AK250</f>
        <v>0</v>
      </c>
      <c r="AN250" s="12"/>
      <c r="AO250" s="12"/>
      <c r="AP250" s="12"/>
      <c r="AQ250" s="12"/>
      <c r="AR250" s="12"/>
      <c r="AS250" s="12"/>
      <c r="AT250" s="12"/>
      <c r="AU250" s="129">
        <f>'Rate Tables'!$P$20</f>
        <v>928.2</v>
      </c>
      <c r="AV250" s="146">
        <f>AR244*AS244*F244</f>
        <v>0</v>
      </c>
      <c r="AW250" s="125">
        <f>AU250*AV250</f>
        <v>0</v>
      </c>
      <c r="AX250" s="19"/>
      <c r="AY250" s="19">
        <f>VLOOKUP(B214,'Lookup Tables'!$AK$22:$AM$24,3,0)</f>
        <v>1</v>
      </c>
      <c r="AZ250" s="12"/>
      <c r="BA250" s="307"/>
      <c r="BB250" s="125"/>
      <c r="BC250" s="12"/>
      <c r="BD250" s="285"/>
      <c r="BE250" s="12" t="s">
        <v>417</v>
      </c>
    </row>
    <row r="251" spans="1:57" ht="13.5" customHeight="1" x14ac:dyDescent="0.25">
      <c r="A251" s="145"/>
      <c r="B251" s="12"/>
      <c r="C251" s="12"/>
      <c r="D251" s="12"/>
      <c r="E251" s="12"/>
      <c r="F251" s="12"/>
      <c r="G251" s="491" t="s">
        <v>555</v>
      </c>
      <c r="H251" s="11">
        <f>IF(H254&lt;$C$5,H254,$C$5)</f>
        <v>12</v>
      </c>
      <c r="I251" s="178">
        <f>IF(B254&lt;=H254,B254,H254)</f>
        <v>0</v>
      </c>
      <c r="J251" s="12"/>
      <c r="K251" s="12"/>
      <c r="L251" s="12"/>
      <c r="M251" s="129">
        <f>'Rate Tables'!$P$18</f>
        <v>910</v>
      </c>
      <c r="N251" s="146">
        <f>K246*L246*F246</f>
        <v>0</v>
      </c>
      <c r="O251" s="154">
        <f>M251*N251</f>
        <v>0</v>
      </c>
      <c r="P251" s="12"/>
      <c r="Q251" s="12"/>
      <c r="R251" s="12"/>
      <c r="S251" s="12"/>
      <c r="T251" s="12"/>
      <c r="U251" s="12"/>
      <c r="V251" s="12"/>
      <c r="W251" s="12"/>
      <c r="X251" s="12"/>
      <c r="Y251" s="129">
        <f>'Rate Tables'!$P$19</f>
        <v>910</v>
      </c>
      <c r="Z251" s="146">
        <f>U246*V246*F246</f>
        <v>10</v>
      </c>
      <c r="AA251" s="125">
        <f>Y251*Z251</f>
        <v>9100</v>
      </c>
      <c r="AB251" s="12"/>
      <c r="AC251" s="12"/>
      <c r="AD251" s="12"/>
      <c r="AE251" s="12"/>
      <c r="AF251" s="12"/>
      <c r="AG251" s="12"/>
      <c r="AH251" s="12"/>
      <c r="AI251" s="12"/>
      <c r="AJ251" s="129">
        <f>'Rate Tables'!$P$20</f>
        <v>928.2</v>
      </c>
      <c r="AK251" s="146">
        <f>AG246*AH246*F246</f>
        <v>2</v>
      </c>
      <c r="AL251" s="125">
        <f>AJ251*AK251</f>
        <v>1856.4</v>
      </c>
      <c r="AN251" s="12"/>
      <c r="AO251" s="12"/>
      <c r="AP251" s="12"/>
      <c r="AQ251" s="12"/>
      <c r="AR251" s="12"/>
      <c r="AS251" s="12"/>
      <c r="AT251" s="12"/>
      <c r="AU251" s="129">
        <f>'Rate Tables'!$P$21</f>
        <v>946.76</v>
      </c>
      <c r="AV251" s="146">
        <f>AR246*AS246*F246</f>
        <v>0</v>
      </c>
      <c r="AW251" s="125">
        <f>AU251*AV251</f>
        <v>0</v>
      </c>
      <c r="AX251" s="12"/>
      <c r="AY251" s="12" t="s">
        <v>244</v>
      </c>
      <c r="AZ251" s="12"/>
      <c r="BA251" s="307"/>
      <c r="BB251" s="12"/>
      <c r="BC251" s="12"/>
      <c r="BD251" s="285"/>
      <c r="BE251" s="12">
        <f>(BD252+BD253)*BE249</f>
        <v>0</v>
      </c>
    </row>
    <row r="252" spans="1:57" ht="13.5" customHeight="1" x14ac:dyDescent="0.25">
      <c r="A252" s="377" t="s">
        <v>431</v>
      </c>
      <c r="B252" s="375" t="str">
        <f>Personnel!M74</f>
        <v>YES</v>
      </c>
      <c r="C252" s="12"/>
      <c r="D252" s="12"/>
      <c r="E252" s="12"/>
      <c r="F252" s="12"/>
      <c r="G252" s="491" t="s">
        <v>559</v>
      </c>
      <c r="H252" s="12">
        <f>BA231</f>
        <v>0</v>
      </c>
      <c r="I252" s="12"/>
      <c r="J252" s="12"/>
      <c r="K252" s="12"/>
      <c r="L252" s="12"/>
      <c r="M252" s="129">
        <f>'Rate Tables'!$P$19</f>
        <v>910</v>
      </c>
      <c r="N252" s="146">
        <f>K248*L248*F248</f>
        <v>0</v>
      </c>
      <c r="O252" s="154">
        <f>M252*N252</f>
        <v>0</v>
      </c>
      <c r="P252" s="12"/>
      <c r="Q252" s="12"/>
      <c r="R252" s="12"/>
      <c r="S252" s="12"/>
      <c r="T252" s="12"/>
      <c r="U252" s="12"/>
      <c r="V252" s="12"/>
      <c r="W252" s="12"/>
      <c r="X252" s="12"/>
      <c r="Y252" s="129">
        <f>'Rate Tables'!$P$20</f>
        <v>928.2</v>
      </c>
      <c r="Z252" s="146">
        <f>U248*V248*F248</f>
        <v>0</v>
      </c>
      <c r="AA252" s="125">
        <f>Y252*Z252</f>
        <v>0</v>
      </c>
      <c r="AB252" s="12"/>
      <c r="AC252" s="12"/>
      <c r="AD252" s="12"/>
      <c r="AE252" s="12"/>
      <c r="AF252" s="12"/>
      <c r="AG252" s="12"/>
      <c r="AH252" s="12"/>
      <c r="AI252" s="12"/>
      <c r="AJ252" s="129">
        <f>'Rate Tables'!$P$21</f>
        <v>946.76</v>
      </c>
      <c r="AK252" s="146">
        <f>AG248*AH248*F248</f>
        <v>0</v>
      </c>
      <c r="AL252" s="125">
        <f>AJ252*AK252</f>
        <v>0</v>
      </c>
      <c r="AN252" s="12"/>
      <c r="AO252" s="12"/>
      <c r="AP252" s="12"/>
      <c r="AQ252" s="12"/>
      <c r="AR252" s="12"/>
      <c r="AS252" s="12"/>
      <c r="AT252" s="12"/>
      <c r="AU252" s="129">
        <f>'Rate Tables'!$P$22</f>
        <v>965.7</v>
      </c>
      <c r="AV252" s="146">
        <f>AR248*AS248*F248</f>
        <v>0</v>
      </c>
      <c r="AW252" s="125">
        <f>AU252*AV252</f>
        <v>0</v>
      </c>
      <c r="AX252" s="12"/>
      <c r="AY252" s="12">
        <f>IF(BD252&gt;=1,1,0)</f>
        <v>0</v>
      </c>
      <c r="AZ252" s="12"/>
      <c r="BA252" s="227"/>
      <c r="BB252" s="226"/>
      <c r="BC252" s="278" t="s">
        <v>96</v>
      </c>
      <c r="BD252" s="285">
        <f>BD216+BD229+BD242</f>
        <v>0</v>
      </c>
      <c r="BE252" s="15"/>
    </row>
    <row r="253" spans="1:57" ht="13.5" customHeight="1" thickBot="1" x14ac:dyDescent="0.3">
      <c r="A253" s="296" t="s">
        <v>439</v>
      </c>
      <c r="B253" s="114" t="s">
        <v>427</v>
      </c>
      <c r="C253" s="12"/>
      <c r="D253" s="12"/>
      <c r="E253" s="12"/>
      <c r="F253" s="12"/>
      <c r="G253" s="491" t="s">
        <v>560</v>
      </c>
      <c r="H253" s="178">
        <f>VLOOKUP(H244,'Lookup Tables'!$L$62:$Y$74,MATCH(G244,'Lookup Tables'!$L$62:$Y$62,FALSE))</f>
        <v>65</v>
      </c>
      <c r="I253" s="12"/>
      <c r="J253" s="12"/>
      <c r="K253" s="12"/>
      <c r="L253" s="12"/>
      <c r="M253" s="12"/>
      <c r="N253" s="12"/>
      <c r="O253" s="155"/>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227"/>
      <c r="BB253" s="224"/>
      <c r="BC253" s="278" t="s">
        <v>415</v>
      </c>
      <c r="BD253" s="285">
        <f>BD218+BD230+BD244</f>
        <v>0</v>
      </c>
      <c r="BE253" s="15"/>
    </row>
    <row r="254" spans="1:57" ht="13.5" customHeight="1" thickBot="1" x14ac:dyDescent="0.3">
      <c r="A254" s="380">
        <f>Personnel!M75</f>
        <v>0</v>
      </c>
      <c r="B254" s="273">
        <f>Personnel!M76</f>
        <v>0</v>
      </c>
      <c r="C254" s="12"/>
      <c r="D254" s="12"/>
      <c r="E254" s="12"/>
      <c r="F254" s="12"/>
      <c r="G254" s="12"/>
      <c r="H254" s="175">
        <f>VLOOKUP($E$4,'Lookup Tables'!$L$46:$AA$58,MATCH($H$218,'Lookup Tables'!$L$46:$X$46),FALSE)</f>
        <v>12</v>
      </c>
      <c r="I254" s="12"/>
      <c r="J254" s="12"/>
      <c r="K254" s="12"/>
      <c r="L254" s="12"/>
      <c r="M254" s="12"/>
      <c r="N254" s="12"/>
      <c r="O254" s="155"/>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227"/>
      <c r="BB254" s="224"/>
      <c r="BC254" s="278" t="s">
        <v>185</v>
      </c>
      <c r="BD254" s="285">
        <f>(BD220+BD232+BD246)*AY252</f>
        <v>0</v>
      </c>
      <c r="BE254" s="373">
        <f>BD252+BD253+BD254+BE251</f>
        <v>0</v>
      </c>
    </row>
    <row r="255" spans="1:57" ht="6" customHeight="1" thickBot="1" x14ac:dyDescent="0.3">
      <c r="A255" s="148"/>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49"/>
      <c r="AL255" s="149"/>
      <c r="AM255" s="149"/>
      <c r="AN255" s="149"/>
      <c r="AO255" s="149"/>
      <c r="AP255" s="149"/>
      <c r="AQ255" s="149"/>
      <c r="AR255" s="149"/>
      <c r="AS255" s="149"/>
      <c r="AT255" s="149"/>
      <c r="AU255" s="149"/>
      <c r="AV255" s="149"/>
      <c r="AW255" s="149"/>
      <c r="AX255" s="149"/>
      <c r="AY255" s="149"/>
      <c r="AZ255" s="149"/>
      <c r="BA255" s="280"/>
      <c r="BB255" s="149"/>
      <c r="BC255" s="149"/>
      <c r="BD255" s="281"/>
      <c r="BE255" s="374"/>
    </row>
    <row r="256" spans="1:57" ht="13.5" customHeight="1" x14ac:dyDescent="0.25">
      <c r="A256" s="257" t="s">
        <v>196</v>
      </c>
      <c r="B256" s="359" t="str">
        <f>Personnel!C82</f>
        <v>12 Month</v>
      </c>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282"/>
      <c r="BB256" s="144"/>
      <c r="BC256" s="144"/>
      <c r="BD256" s="283"/>
      <c r="BE256" s="12"/>
    </row>
    <row r="257" spans="1:57" ht="13.5" customHeight="1" x14ac:dyDescent="0.25">
      <c r="A257" s="258" t="s">
        <v>174</v>
      </c>
      <c r="B257" s="155"/>
      <c r="C257" s="259" t="s">
        <v>605</v>
      </c>
      <c r="D257" s="12"/>
      <c r="E257" s="12"/>
      <c r="F257" s="12"/>
      <c r="G257" s="12" t="s">
        <v>182</v>
      </c>
      <c r="H257" s="12"/>
      <c r="I257" s="12"/>
      <c r="J257" s="12"/>
      <c r="K257" s="12"/>
      <c r="L257" s="12"/>
      <c r="M257" s="12" t="s">
        <v>167</v>
      </c>
      <c r="N257" s="12"/>
      <c r="O257" s="12">
        <v>21</v>
      </c>
      <c r="P257" s="12"/>
      <c r="Q257" s="12"/>
      <c r="R257" s="12"/>
      <c r="S257" s="12"/>
      <c r="T257" s="12"/>
      <c r="U257" s="12"/>
      <c r="V257" s="12"/>
      <c r="W257" s="12"/>
      <c r="X257" s="12"/>
      <c r="Y257" s="12" t="s">
        <v>168</v>
      </c>
      <c r="Z257" s="12"/>
      <c r="AA257" s="12">
        <v>22</v>
      </c>
      <c r="AB257" s="12"/>
      <c r="AC257" s="12"/>
      <c r="AD257" s="12"/>
      <c r="AE257" s="12"/>
      <c r="AF257" s="12"/>
      <c r="AG257" s="12"/>
      <c r="AH257" s="12"/>
      <c r="AI257" s="12"/>
      <c r="AJ257" s="12" t="s">
        <v>169</v>
      </c>
      <c r="AK257" s="12"/>
      <c r="AL257" s="12">
        <v>23</v>
      </c>
      <c r="AM257" s="12"/>
      <c r="AN257" s="12"/>
      <c r="AO257" s="12"/>
      <c r="AP257" s="12"/>
      <c r="AQ257" s="12"/>
      <c r="AR257" s="12"/>
      <c r="AS257" s="12"/>
      <c r="AT257" s="12"/>
      <c r="AU257" s="12"/>
      <c r="AV257" s="12"/>
      <c r="AW257" s="12"/>
      <c r="AX257" s="12"/>
      <c r="AY257" s="12"/>
      <c r="AZ257" s="12"/>
      <c r="BA257" s="227"/>
      <c r="BB257" s="12"/>
      <c r="BC257" s="12"/>
      <c r="BD257" s="275"/>
      <c r="BE257" s="12"/>
    </row>
    <row r="258" spans="1:57" ht="13.5" customHeight="1" x14ac:dyDescent="0.25">
      <c r="A258" s="356">
        <f>Personnel!C83</f>
        <v>0</v>
      </c>
      <c r="B258" s="357">
        <f>Personnel!C84</f>
        <v>0</v>
      </c>
      <c r="C258" s="115">
        <f>(B258*9)*2</f>
        <v>0</v>
      </c>
      <c r="D258" s="12"/>
      <c r="E258" s="12"/>
      <c r="F258" s="12"/>
      <c r="G258" s="12"/>
      <c r="H258" s="12"/>
      <c r="I258" s="12"/>
      <c r="J258" s="12"/>
      <c r="K258" s="12"/>
      <c r="L258" s="12"/>
      <c r="M258" s="12"/>
      <c r="N258" s="12"/>
      <c r="O258" s="12">
        <v>22</v>
      </c>
      <c r="P258" s="12"/>
      <c r="Q258" s="12"/>
      <c r="R258" s="12"/>
      <c r="S258" s="12"/>
      <c r="T258" s="12"/>
      <c r="U258" s="12"/>
      <c r="V258" s="12"/>
      <c r="W258" s="12"/>
      <c r="X258" s="12"/>
      <c r="Y258" s="12"/>
      <c r="Z258" s="12"/>
      <c r="AA258" s="12">
        <v>23</v>
      </c>
      <c r="AB258" s="12"/>
      <c r="AC258" s="12"/>
      <c r="AD258" s="12"/>
      <c r="AE258" s="12"/>
      <c r="AF258" s="12"/>
      <c r="AG258" s="12"/>
      <c r="AH258" s="12"/>
      <c r="AI258" s="12"/>
      <c r="AJ258" s="12"/>
      <c r="AK258" s="12"/>
      <c r="AL258" s="12">
        <v>24</v>
      </c>
      <c r="AM258" s="12"/>
      <c r="AN258" s="12"/>
      <c r="AO258" s="12"/>
      <c r="AP258" s="12"/>
      <c r="AQ258" s="12"/>
      <c r="AR258" s="12"/>
      <c r="AS258" s="12"/>
      <c r="AT258" s="12"/>
      <c r="AU258" s="12"/>
      <c r="AV258" s="12"/>
      <c r="AW258" s="12"/>
      <c r="AX258" s="12"/>
      <c r="AY258" s="12"/>
      <c r="AZ258" s="12"/>
      <c r="BA258" s="306" t="s">
        <v>412</v>
      </c>
      <c r="BB258" s="348">
        <f>Personnel!O83</f>
        <v>0</v>
      </c>
      <c r="BC258" s="276" t="s">
        <v>414</v>
      </c>
      <c r="BD258" s="285">
        <f>(N260+Z260+AK260+AV260+N262+Z262+AK262+AV262+N264+Z264+AK264+AV264)*AY260</f>
        <v>0</v>
      </c>
      <c r="BE258" s="15"/>
    </row>
    <row r="259" spans="1:57" ht="13.5" customHeight="1" x14ac:dyDescent="0.25">
      <c r="A259" s="145"/>
      <c r="B259" s="12"/>
      <c r="C259" s="117" t="s">
        <v>30</v>
      </c>
      <c r="D259" s="12"/>
      <c r="E259" s="13" t="s">
        <v>16</v>
      </c>
      <c r="F259" s="13" t="s">
        <v>42</v>
      </c>
      <c r="G259" s="13" t="s">
        <v>41</v>
      </c>
      <c r="H259" s="65" t="s">
        <v>77</v>
      </c>
      <c r="I259" s="64" t="s">
        <v>90</v>
      </c>
      <c r="J259" s="63" t="s">
        <v>70</v>
      </c>
      <c r="K259" s="52" t="s">
        <v>93</v>
      </c>
      <c r="L259" s="13" t="s">
        <v>35</v>
      </c>
      <c r="M259" s="13" t="s">
        <v>82</v>
      </c>
      <c r="N259" s="13" t="s">
        <v>31</v>
      </c>
      <c r="O259" s="14" t="s">
        <v>69</v>
      </c>
      <c r="P259" s="13" t="s">
        <v>72</v>
      </c>
      <c r="Q259" s="65" t="s">
        <v>80</v>
      </c>
      <c r="R259" s="62" t="s">
        <v>81</v>
      </c>
      <c r="S259" s="65" t="s">
        <v>77</v>
      </c>
      <c r="T259" s="600" t="s">
        <v>83</v>
      </c>
      <c r="U259" s="63" t="s">
        <v>70</v>
      </c>
      <c r="V259" s="13" t="s">
        <v>91</v>
      </c>
      <c r="W259" s="13" t="s">
        <v>43</v>
      </c>
      <c r="X259" s="13" t="s">
        <v>53</v>
      </c>
      <c r="Y259" s="13" t="s">
        <v>68</v>
      </c>
      <c r="Z259" s="13" t="s">
        <v>32</v>
      </c>
      <c r="AA259" s="14" t="s">
        <v>69</v>
      </c>
      <c r="AB259" s="13" t="s">
        <v>72</v>
      </c>
      <c r="AC259" s="13" t="s">
        <v>80</v>
      </c>
      <c r="AD259" s="62" t="s">
        <v>81</v>
      </c>
      <c r="AE259" s="65" t="s">
        <v>77</v>
      </c>
      <c r="AF259" s="63" t="s">
        <v>70</v>
      </c>
      <c r="AG259" s="13" t="s">
        <v>92</v>
      </c>
      <c r="AH259" s="13" t="s">
        <v>44</v>
      </c>
      <c r="AI259" s="13" t="s">
        <v>78</v>
      </c>
      <c r="AJ259" s="13" t="s">
        <v>68</v>
      </c>
      <c r="AK259" s="13" t="s">
        <v>33</v>
      </c>
      <c r="AL259" s="14" t="s">
        <v>69</v>
      </c>
      <c r="AM259" s="13" t="s">
        <v>72</v>
      </c>
      <c r="AN259" s="13" t="s">
        <v>80</v>
      </c>
      <c r="AO259" s="62" t="s">
        <v>81</v>
      </c>
      <c r="AP259" s="65" t="s">
        <v>77</v>
      </c>
      <c r="AQ259" s="63" t="s">
        <v>70</v>
      </c>
      <c r="AR259" s="13" t="s">
        <v>92</v>
      </c>
      <c r="AS259" s="13" t="s">
        <v>44</v>
      </c>
      <c r="AT259" s="13" t="s">
        <v>78</v>
      </c>
      <c r="AU259" s="13" t="s">
        <v>68</v>
      </c>
      <c r="AV259" s="13" t="s">
        <v>33</v>
      </c>
      <c r="AW259" s="14" t="s">
        <v>69</v>
      </c>
      <c r="AX259" s="13"/>
      <c r="AY259" s="13" t="s">
        <v>159</v>
      </c>
      <c r="AZ259" s="12"/>
      <c r="BA259" s="227"/>
      <c r="BB259" s="349"/>
      <c r="BC259" s="227"/>
      <c r="BD259" s="285"/>
      <c r="BE259" s="15"/>
    </row>
    <row r="260" spans="1:57" ht="13.5" customHeight="1" x14ac:dyDescent="0.25">
      <c r="A260" s="145"/>
      <c r="B260" s="12"/>
      <c r="C260" s="115"/>
      <c r="D260" s="12"/>
      <c r="E260" s="118">
        <f>BB258</f>
        <v>0</v>
      </c>
      <c r="F260" s="19">
        <f>IF($D$4=2022,1,0)</f>
        <v>0</v>
      </c>
      <c r="G260" s="178">
        <f>IF($B294="Yes",$C$5,$I293)</f>
        <v>12</v>
      </c>
      <c r="H260" s="36">
        <f>VLOOKUP(H292,'Lookup Tables'!$A$22:$B$33,2,FALSE)</f>
        <v>3</v>
      </c>
      <c r="I260" s="192">
        <f>VLOOKUP($E$4,'Lookup Tables'!$AB$46:$AN$58,MATCH($H260,'Lookup Tables'!$AB$46:$AN$46),FALSE)</f>
        <v>12</v>
      </c>
      <c r="J260" s="33">
        <f>VLOOKUP(H260,'Lookup Tables'!$A$3:$AA$16,MATCH(PersonCalcYr2!$G260,'Lookup Tables'!$A$3:$AA$3),FALSE)</f>
        <v>1.5161</v>
      </c>
      <c r="K260" s="54">
        <f>VLOOKUP($H292,'Lookup Tables'!$K$23:$L$34,2,FALSE)</f>
        <v>0</v>
      </c>
      <c r="L260" s="12">
        <f>IF(G260&lt;=K260,G260,K260)</f>
        <v>0</v>
      </c>
      <c r="M260" s="195">
        <f>IF(12-I260&gt;=1,1,0)</f>
        <v>0</v>
      </c>
      <c r="N260" s="15">
        <f>(('Rate Tables'!B81*PersonCalcYr2!E260)*PersonCalcYr2!L260)*PersonCalcYr2!F260*M260</f>
        <v>0</v>
      </c>
      <c r="O260" s="28">
        <f>G260-((J260+L260)*M260)</f>
        <v>12</v>
      </c>
      <c r="P260" s="8">
        <f>IF(O260&lt;0,O260*0,1)*O260</f>
        <v>12</v>
      </c>
      <c r="Q260" s="120">
        <f>VLOOKUP($H292,'Lookup Tables'!$A$22:$B$33,2,FALSE)+(L260*M260)+(J260*M260)</f>
        <v>3</v>
      </c>
      <c r="R260" s="121" t="str">
        <f>VLOOKUP(Q260,'Lookup Tables'!$A$38:$B$151,2,FALSE)</f>
        <v>Sept</v>
      </c>
      <c r="S260" s="36">
        <f>VLOOKUP(R260,'Lookup Tables'!$A$22:$B$33,2,FALSE)</f>
        <v>3</v>
      </c>
      <c r="T260" s="599">
        <f>VLOOKUP($E$4,'Lookup Tables'!$AB$63:$AN$75,MATCH(PersonCalcYr2!$S260,'Lookup Tables'!$AB$63:$AN$63),FALSE)</f>
        <v>0.5161</v>
      </c>
      <c r="U260" s="34">
        <f>VLOOKUP(S260,'Lookup Tables'!$A$3:$AA$16,MATCH(PersonCalcYr2!$P260,'Lookup Tables'!$A$3:$AA$3),FALSE)</f>
        <v>1.5161</v>
      </c>
      <c r="V260" s="12">
        <f>9-T260</f>
        <v>8.4839000000000002</v>
      </c>
      <c r="W260" s="122">
        <f>P260-U260</f>
        <v>10.4839</v>
      </c>
      <c r="X260" s="119">
        <f>IF(V260&lt;=W260,V260,W260)</f>
        <v>8.4839000000000002</v>
      </c>
      <c r="Y260" s="195">
        <f>IF(12-T260-U260-X260&gt;=0,1,0)</f>
        <v>1</v>
      </c>
      <c r="Z260" s="20">
        <f>((('Rate Tables'!C81*$E260)*PersonCalcYr2!$X260)*$F260)*Y260</f>
        <v>0</v>
      </c>
      <c r="AA260" s="197">
        <f>O260-(((U260*U266)+X260)*Y260)</f>
        <v>2</v>
      </c>
      <c r="AB260" s="8">
        <f>IF(AA260&lt;0,AA260*0,1)*AA260</f>
        <v>2</v>
      </c>
      <c r="AC260" s="601">
        <f>S260+(X260*Y260)+((U260*U266)*Y260)</f>
        <v>13</v>
      </c>
      <c r="AD260" s="121" t="str">
        <f>VLOOKUP(AC260,'Lookup Tables'!$A$38:$B$151,2,FALSE)</f>
        <v>July</v>
      </c>
      <c r="AE260" s="36">
        <f>VLOOKUP(AD260,'Lookup Tables'!$A$22:$B$33,2,FALSE)</f>
        <v>1</v>
      </c>
      <c r="AF260" s="34">
        <f>VLOOKUP(AE260,'Lookup Tables'!$A$3:$AA$16,MATCH(PersonCalcYr2!AB260,'Lookup Tables'!$A$3:$AA$3),FALSE)</f>
        <v>1.4839</v>
      </c>
      <c r="AG260" s="12">
        <v>9</v>
      </c>
      <c r="AH260" s="122">
        <f>AB260-AF260</f>
        <v>0.5161</v>
      </c>
      <c r="AI260" s="119">
        <f>IF(AG260&lt;=AH260,AG260,AH260)</f>
        <v>0.5161</v>
      </c>
      <c r="AJ260" s="119">
        <f>IF((AG260+AF260)&lt;=0,0,1)</f>
        <v>1</v>
      </c>
      <c r="AK260" s="124">
        <f>((('Rate Tables'!D81*$E260)*PersonCalcYr2!AI260)*$F260)*AJ260</f>
        <v>0</v>
      </c>
      <c r="AL260" s="28">
        <f>AB260-AF260-AI260</f>
        <v>0</v>
      </c>
      <c r="AM260" s="8">
        <f>IF(AL260&lt;0,AL260*0,1)*AL260</f>
        <v>0</v>
      </c>
      <c r="AN260" s="601">
        <f>AE260+(AI260*AJ260)+((AF260*AF266)*AJ260)</f>
        <v>3</v>
      </c>
      <c r="AO260" s="121" t="str">
        <f>VLOOKUP(AN260,'Lookup Tables'!$A$38:$B$151,2,FALSE)</f>
        <v>Sept</v>
      </c>
      <c r="AP260" s="36">
        <f>VLOOKUP(AO260,'Lookup Tables'!$A$22:$B$33,2,FALSE)</f>
        <v>3</v>
      </c>
      <c r="AQ260" s="34">
        <f>VLOOKUP(AP260,'Lookup Tables'!$A$3:$AA$16,MATCH(PersonCalcYr2!AM260,'Lookup Tables'!$A$3:$AA$3),FALSE)</f>
        <v>0</v>
      </c>
      <c r="AR260" s="12">
        <v>9</v>
      </c>
      <c r="AS260" s="122">
        <f>AM260-AQ260</f>
        <v>0</v>
      </c>
      <c r="AT260" s="119">
        <f>IF(AR260&lt;=AS260,AR260,AS260)</f>
        <v>0</v>
      </c>
      <c r="AU260" s="119">
        <f>IF((AR260+AQ260)&lt;=0,0,1)</f>
        <v>1</v>
      </c>
      <c r="AV260" s="124">
        <f>((('Rate Tables'!E81*$E260)*PersonCalcYr2!AT260)*$F260)*AU260</f>
        <v>0</v>
      </c>
      <c r="AW260" s="28">
        <f>AM260-AQ260-AT260</f>
        <v>0</v>
      </c>
      <c r="AX260" s="19"/>
      <c r="AY260" s="19">
        <f>VLOOKUP(B256,'Lookup Tables'!$AK$22:$AM$24,2,0)</f>
        <v>0</v>
      </c>
      <c r="AZ260" s="12"/>
      <c r="BA260" s="227"/>
      <c r="BB260" s="350"/>
      <c r="BC260" s="276" t="s">
        <v>184</v>
      </c>
      <c r="BD260" s="285">
        <f>BD258*'Rate Tables'!P$8</f>
        <v>0</v>
      </c>
      <c r="BE260" s="15"/>
    </row>
    <row r="261" spans="1:57" ht="13.5" customHeight="1" x14ac:dyDescent="0.25">
      <c r="A261" s="145"/>
      <c r="B261" s="12"/>
      <c r="C261" s="117" t="s">
        <v>597</v>
      </c>
      <c r="D261" s="12"/>
      <c r="E261" s="13" t="s">
        <v>16</v>
      </c>
      <c r="F261" s="13" t="s">
        <v>42</v>
      </c>
      <c r="G261" s="13" t="s">
        <v>41</v>
      </c>
      <c r="H261" s="65" t="s">
        <v>77</v>
      </c>
      <c r="I261" s="64" t="s">
        <v>90</v>
      </c>
      <c r="J261" s="63" t="s">
        <v>70</v>
      </c>
      <c r="K261" s="52" t="s">
        <v>109</v>
      </c>
      <c r="L261" s="13" t="s">
        <v>53</v>
      </c>
      <c r="M261" s="13" t="s">
        <v>82</v>
      </c>
      <c r="N261" s="13" t="s">
        <v>32</v>
      </c>
      <c r="O261" s="14" t="s">
        <v>69</v>
      </c>
      <c r="P261" s="13" t="s">
        <v>72</v>
      </c>
      <c r="Q261" s="65" t="s">
        <v>80</v>
      </c>
      <c r="R261" s="62" t="s">
        <v>81</v>
      </c>
      <c r="S261" s="65" t="s">
        <v>77</v>
      </c>
      <c r="T261" s="600" t="s">
        <v>83</v>
      </c>
      <c r="U261" s="63" t="s">
        <v>70</v>
      </c>
      <c r="V261" s="13" t="s">
        <v>92</v>
      </c>
      <c r="W261" s="13" t="s">
        <v>44</v>
      </c>
      <c r="X261" s="13" t="s">
        <v>78</v>
      </c>
      <c r="Y261" s="13" t="s">
        <v>68</v>
      </c>
      <c r="Z261" s="13" t="s">
        <v>33</v>
      </c>
      <c r="AA261" s="14" t="s">
        <v>69</v>
      </c>
      <c r="AB261" s="13" t="s">
        <v>72</v>
      </c>
      <c r="AC261" s="13" t="s">
        <v>80</v>
      </c>
      <c r="AD261" s="62" t="s">
        <v>81</v>
      </c>
      <c r="AE261" s="65" t="s">
        <v>77</v>
      </c>
      <c r="AF261" s="63" t="s">
        <v>70</v>
      </c>
      <c r="AG261" s="13" t="s">
        <v>94</v>
      </c>
      <c r="AH261" s="13" t="s">
        <v>45</v>
      </c>
      <c r="AI261" s="13" t="s">
        <v>79</v>
      </c>
      <c r="AJ261" s="13" t="s">
        <v>68</v>
      </c>
      <c r="AK261" s="13" t="s">
        <v>34</v>
      </c>
      <c r="AL261" s="14" t="s">
        <v>69</v>
      </c>
      <c r="AM261" s="13" t="s">
        <v>72</v>
      </c>
      <c r="AN261" s="13" t="s">
        <v>80</v>
      </c>
      <c r="AO261" s="62" t="s">
        <v>81</v>
      </c>
      <c r="AP261" s="65" t="s">
        <v>77</v>
      </c>
      <c r="AQ261" s="63" t="s">
        <v>70</v>
      </c>
      <c r="AR261" s="13" t="s">
        <v>94</v>
      </c>
      <c r="AS261" s="13" t="s">
        <v>45</v>
      </c>
      <c r="AT261" s="13" t="s">
        <v>79</v>
      </c>
      <c r="AU261" s="13" t="s">
        <v>68</v>
      </c>
      <c r="AV261" s="13" t="s">
        <v>34</v>
      </c>
      <c r="AW261" s="14" t="s">
        <v>69</v>
      </c>
      <c r="AX261" s="13"/>
      <c r="AY261" s="13"/>
      <c r="AZ261" s="12"/>
      <c r="BA261" s="227"/>
      <c r="BB261" s="351"/>
      <c r="BC261" s="227"/>
      <c r="BD261" s="285"/>
      <c r="BE261" s="15"/>
    </row>
    <row r="262" spans="1:57" ht="13.5" customHeight="1" x14ac:dyDescent="0.25">
      <c r="A262" s="145"/>
      <c r="B262" s="12"/>
      <c r="C262" s="115"/>
      <c r="D262" s="12"/>
      <c r="E262" s="118">
        <f>BB258</f>
        <v>0</v>
      </c>
      <c r="F262" s="19">
        <f>IF($D$4=2023,1,0)</f>
        <v>1</v>
      </c>
      <c r="G262" s="178">
        <f>IF($B294="Yes",$C$5,$I293)</f>
        <v>12</v>
      </c>
      <c r="H262" s="36">
        <f>VLOOKUP(H292,'Lookup Tables'!$A$22:$B$33,2,FALSE)</f>
        <v>3</v>
      </c>
      <c r="I262" s="192">
        <f>VLOOKUP($E$4,'Lookup Tables'!$AB$46:$AN$58,MATCH($H262,'Lookup Tables'!$AB$46:$AN$46),FALSE)</f>
        <v>12</v>
      </c>
      <c r="J262" s="33">
        <f>VLOOKUP(H262,'Lookup Tables'!$A$3:$AA$16,MATCH(PersonCalcYr2!$G262,'Lookup Tables'!$A$3:$AA$3),FALSE)</f>
        <v>1.5161</v>
      </c>
      <c r="K262" s="54">
        <f>VLOOKUP($H292,'Lookup Tables'!$K$23:$L$34,2,FALSE)</f>
        <v>0</v>
      </c>
      <c r="L262" s="12">
        <f>IF(G262&lt;=K262,G262,K262)</f>
        <v>0</v>
      </c>
      <c r="M262" s="195">
        <f>IF(12-I262&gt;=1,1,0)</f>
        <v>0</v>
      </c>
      <c r="N262" s="15">
        <f>(('Rate Tables'!C81*PersonCalcYr2!E262)*PersonCalcYr2!L262)*PersonCalcYr2!F262*M262</f>
        <v>0</v>
      </c>
      <c r="O262" s="28">
        <f>G262-((J262+L262)*M262)</f>
        <v>12</v>
      </c>
      <c r="P262" s="8">
        <f>IF(O262&lt;0,O262*0,1)*O262</f>
        <v>12</v>
      </c>
      <c r="Q262" s="120">
        <f>VLOOKUP($H292,'Lookup Tables'!$A$22:$B$33,2,FALSE)+(L262*M262)+(J262*M262)</f>
        <v>3</v>
      </c>
      <c r="R262" s="121" t="str">
        <f>VLOOKUP(Q262,'Lookup Tables'!$A$38:$B$151,2,FALSE)</f>
        <v>Sept</v>
      </c>
      <c r="S262" s="36">
        <f>VLOOKUP(R262,'Lookup Tables'!$A$22:$B$33,2,FALSE)</f>
        <v>3</v>
      </c>
      <c r="T262" s="599">
        <f>VLOOKUP($E$4,'Lookup Tables'!$AB$63:$AN$75,MATCH(PersonCalcYr2!$S262,'Lookup Tables'!$AB$63:$AN$63),FALSE)</f>
        <v>0.5161</v>
      </c>
      <c r="U262" s="34">
        <f>VLOOKUP(S262,'Lookup Tables'!$A$3:$AA$16,MATCH(PersonCalcYr2!$P262,'Lookup Tables'!$A$3:$AA$3),FALSE)</f>
        <v>1.5161</v>
      </c>
      <c r="V262" s="12">
        <f>9-T262</f>
        <v>8.4839000000000002</v>
      </c>
      <c r="W262" s="122">
        <f>P262-U262</f>
        <v>10.4839</v>
      </c>
      <c r="X262" s="119">
        <f>IF(V262&lt;=W262,V262,W262)</f>
        <v>8.4839000000000002</v>
      </c>
      <c r="Y262" s="195">
        <f>IF(12-T262-U262-X262&gt;=0,1,0)</f>
        <v>1</v>
      </c>
      <c r="Z262" s="20">
        <f>((('Rate Tables'!D81*$E262)*PersonCalcYr2!$X262)*$F262)*Y262</f>
        <v>0</v>
      </c>
      <c r="AA262" s="197">
        <f>O262-(((U262*U266)+X262)*Y262)</f>
        <v>2</v>
      </c>
      <c r="AB262" s="8">
        <f>IF(AA262&lt;0,AA262*0,1)*AA262</f>
        <v>2</v>
      </c>
      <c r="AC262" s="601">
        <f>S262+(X262*Y262)+((U262*U266)*Y262)</f>
        <v>13</v>
      </c>
      <c r="AD262" s="121" t="str">
        <f>VLOOKUP(AC262,'Lookup Tables'!$A$38:$B$151,2,FALSE)</f>
        <v>July</v>
      </c>
      <c r="AE262" s="36">
        <f>VLOOKUP(AD262,'Lookup Tables'!$A$22:$B$33,2,FALSE)</f>
        <v>1</v>
      </c>
      <c r="AF262" s="34">
        <f>VLOOKUP(AE262,'Lookup Tables'!$A$3:$AA$16,MATCH(PersonCalcYr2!AB262,'Lookup Tables'!$A$3:$AA$3),FALSE)</f>
        <v>1.4839</v>
      </c>
      <c r="AG262" s="12">
        <v>9</v>
      </c>
      <c r="AH262" s="122">
        <f>AB262-AF262</f>
        <v>0.5161</v>
      </c>
      <c r="AI262" s="119">
        <f>IF(AG262&lt;=AH262,AG262,AH262)</f>
        <v>0.5161</v>
      </c>
      <c r="AJ262" s="119">
        <f>IF((AG262+AF262)&lt;=0,0,1)</f>
        <v>1</v>
      </c>
      <c r="AK262" s="124">
        <f>((('Rate Tables'!E81*$E262)*PersonCalcYr2!AI262)*$F262)*AJ262</f>
        <v>0</v>
      </c>
      <c r="AL262" s="28">
        <f>AB262-AF262-AI262</f>
        <v>0</v>
      </c>
      <c r="AM262" s="8">
        <f>IF(AL262&lt;0,AL262*0,1)*AL262</f>
        <v>0</v>
      </c>
      <c r="AN262" s="601">
        <f>AE262+(AI262*AJ262)+((AF262*AF266)*AJ262)</f>
        <v>3</v>
      </c>
      <c r="AO262" s="121" t="str">
        <f>VLOOKUP(AN262,'Lookup Tables'!$A$38:$B$151,2,FALSE)</f>
        <v>Sept</v>
      </c>
      <c r="AP262" s="36">
        <f>VLOOKUP(AO262,'Lookup Tables'!$A$22:$B$33,2,FALSE)</f>
        <v>3</v>
      </c>
      <c r="AQ262" s="34">
        <f>VLOOKUP(AP262,'Lookup Tables'!$A$3:$AA$16,MATCH(PersonCalcYr2!AM262,'Lookup Tables'!$A$3:$AA$3),FALSE)</f>
        <v>0</v>
      </c>
      <c r="AR262" s="12">
        <v>9</v>
      </c>
      <c r="AS262" s="122">
        <f>AM262-AQ262</f>
        <v>0</v>
      </c>
      <c r="AT262" s="119">
        <f>IF(AR262&lt;=AS262,AR262,AS262)</f>
        <v>0</v>
      </c>
      <c r="AU262" s="119">
        <f>IF((AR262+AQ262)&lt;=0,0,1)</f>
        <v>1</v>
      </c>
      <c r="AV262" s="124">
        <f>((('Rate Tables'!F81*$E262)*PersonCalcYr2!AT262)*$F262)*AU262</f>
        <v>0</v>
      </c>
      <c r="AW262" s="28">
        <f>AM262-AQ262-AT262</f>
        <v>0</v>
      </c>
      <c r="AX262" s="19"/>
      <c r="AY262" s="19"/>
      <c r="AZ262" s="12"/>
      <c r="BA262" s="1199" t="s">
        <v>580</v>
      </c>
      <c r="BB262" s="349"/>
      <c r="BC262" s="276" t="s">
        <v>134</v>
      </c>
      <c r="BD262" s="285">
        <f>(((O266+O267+O268+AA266+AA267+AA268+AL266+AL267+AL268+AW266+AW267+AW268)*AY266)*BD265)*BB267</f>
        <v>0</v>
      </c>
      <c r="BE262" s="15"/>
    </row>
    <row r="263" spans="1:57" ht="13.5" customHeight="1" x14ac:dyDescent="0.25">
      <c r="A263" s="145"/>
      <c r="B263" s="12"/>
      <c r="C263" s="117" t="s">
        <v>664</v>
      </c>
      <c r="D263" s="12"/>
      <c r="E263" s="13" t="s">
        <v>16</v>
      </c>
      <c r="F263" s="13" t="s">
        <v>42</v>
      </c>
      <c r="G263" s="13" t="s">
        <v>41</v>
      </c>
      <c r="H263" s="65" t="s">
        <v>77</v>
      </c>
      <c r="I263" s="64" t="s">
        <v>90</v>
      </c>
      <c r="J263" s="63" t="s">
        <v>70</v>
      </c>
      <c r="K263" s="52" t="s">
        <v>109</v>
      </c>
      <c r="L263" s="13" t="s">
        <v>53</v>
      </c>
      <c r="M263" s="13" t="s">
        <v>82</v>
      </c>
      <c r="N263" s="13" t="s">
        <v>32</v>
      </c>
      <c r="O263" s="14" t="s">
        <v>69</v>
      </c>
      <c r="P263" s="13" t="s">
        <v>72</v>
      </c>
      <c r="Q263" s="65" t="s">
        <v>80</v>
      </c>
      <c r="R263" s="62" t="s">
        <v>81</v>
      </c>
      <c r="S263" s="65" t="s">
        <v>77</v>
      </c>
      <c r="T263" s="600" t="s">
        <v>83</v>
      </c>
      <c r="U263" s="63" t="s">
        <v>70</v>
      </c>
      <c r="V263" s="13" t="s">
        <v>92</v>
      </c>
      <c r="W263" s="13" t="s">
        <v>44</v>
      </c>
      <c r="X263" s="13" t="s">
        <v>78</v>
      </c>
      <c r="Y263" s="13" t="s">
        <v>68</v>
      </c>
      <c r="Z263" s="13" t="s">
        <v>33</v>
      </c>
      <c r="AA263" s="14" t="s">
        <v>69</v>
      </c>
      <c r="AB263" s="13" t="s">
        <v>72</v>
      </c>
      <c r="AC263" s="13" t="s">
        <v>80</v>
      </c>
      <c r="AD263" s="62" t="s">
        <v>81</v>
      </c>
      <c r="AE263" s="65" t="s">
        <v>77</v>
      </c>
      <c r="AF263" s="63" t="s">
        <v>70</v>
      </c>
      <c r="AG263" s="13" t="s">
        <v>94</v>
      </c>
      <c r="AH263" s="13" t="s">
        <v>45</v>
      </c>
      <c r="AI263" s="13" t="s">
        <v>79</v>
      </c>
      <c r="AJ263" s="13" t="s">
        <v>68</v>
      </c>
      <c r="AK263" s="13" t="s">
        <v>34</v>
      </c>
      <c r="AL263" s="14" t="s">
        <v>69</v>
      </c>
      <c r="AM263" s="13" t="s">
        <v>72</v>
      </c>
      <c r="AN263" s="13" t="s">
        <v>80</v>
      </c>
      <c r="AO263" s="62" t="s">
        <v>81</v>
      </c>
      <c r="AP263" s="65" t="s">
        <v>77</v>
      </c>
      <c r="AQ263" s="63" t="s">
        <v>70</v>
      </c>
      <c r="AR263" s="13" t="s">
        <v>94</v>
      </c>
      <c r="AS263" s="13" t="s">
        <v>45</v>
      </c>
      <c r="AT263" s="13" t="s">
        <v>79</v>
      </c>
      <c r="AU263" s="13" t="s">
        <v>68</v>
      </c>
      <c r="AV263" s="13" t="s">
        <v>34</v>
      </c>
      <c r="AW263" s="14" t="s">
        <v>69</v>
      </c>
      <c r="AX263" s="19"/>
      <c r="AY263" s="19"/>
      <c r="AZ263" s="12"/>
      <c r="BA263" s="1199"/>
      <c r="BB263" s="349"/>
      <c r="BC263" s="276"/>
      <c r="BD263" s="285"/>
      <c r="BE263" s="15"/>
    </row>
    <row r="264" spans="1:57" ht="13.5" customHeight="1" x14ac:dyDescent="0.25">
      <c r="A264" s="145"/>
      <c r="B264" s="12"/>
      <c r="C264" s="115"/>
      <c r="D264" s="12"/>
      <c r="E264" s="118">
        <f>BB258</f>
        <v>0</v>
      </c>
      <c r="F264" s="19">
        <f>IF($D$4=2024,1,0)</f>
        <v>0</v>
      </c>
      <c r="G264" s="178">
        <f>IF($B294="Yes",$C$5,$I293)</f>
        <v>12</v>
      </c>
      <c r="H264" s="36">
        <f>VLOOKUP(H292,'Lookup Tables'!$A$22:$B$33,2,FALSE)</f>
        <v>3</v>
      </c>
      <c r="I264" s="192">
        <f>VLOOKUP($E$4,'Lookup Tables'!$AB$46:$AN$58,MATCH($H264,'Lookup Tables'!$AB$46:$AN$46),FALSE)</f>
        <v>12</v>
      </c>
      <c r="J264" s="33">
        <f>VLOOKUP(H264,'Lookup Tables'!$A$3:$AA$16,MATCH(PersonCalcYr2!$G264,'Lookup Tables'!$A$3:$AA$3),FALSE)</f>
        <v>1.5161</v>
      </c>
      <c r="K264" s="54">
        <f>VLOOKUP($H292,'Lookup Tables'!$K$23:$L$34,2,FALSE)</f>
        <v>0</v>
      </c>
      <c r="L264" s="12">
        <f>IF(G264&lt;=K264,G264,K264)</f>
        <v>0</v>
      </c>
      <c r="M264" s="195">
        <f>IF(12-I264&gt;=1,1,0)</f>
        <v>0</v>
      </c>
      <c r="N264" s="15">
        <f>(('Rate Tables'!D81*PersonCalcYr2!E264)*PersonCalcYr2!L264)*PersonCalcYr2!F264*M264</f>
        <v>0</v>
      </c>
      <c r="O264" s="28">
        <f>G264-((J264+L264)*M264)</f>
        <v>12</v>
      </c>
      <c r="P264" s="8">
        <f>IF(O264&lt;0,O264*0,1)*O264</f>
        <v>12</v>
      </c>
      <c r="Q264" s="120">
        <f>VLOOKUP($H292,'Lookup Tables'!$A$22:$B$33,2,FALSE)+(L264*M264)+(J264*M264)</f>
        <v>3</v>
      </c>
      <c r="R264" s="121" t="str">
        <f>VLOOKUP(Q264,'Lookup Tables'!$A$38:$B$151,2,FALSE)</f>
        <v>Sept</v>
      </c>
      <c r="S264" s="36">
        <f>VLOOKUP(R264,'Lookup Tables'!$A$22:$B$33,2,FALSE)</f>
        <v>3</v>
      </c>
      <c r="T264" s="599">
        <f>VLOOKUP($E$4,'Lookup Tables'!$AB$63:$AN$75,MATCH(PersonCalcYr2!$S264,'Lookup Tables'!$AB$63:$AN$63),FALSE)</f>
        <v>0.5161</v>
      </c>
      <c r="U264" s="34">
        <f>VLOOKUP(S264,'Lookup Tables'!$A$3:$AA$16,MATCH(PersonCalcYr2!$P264,'Lookup Tables'!$A$3:$AA$3),FALSE)</f>
        <v>1.5161</v>
      </c>
      <c r="V264" s="12">
        <f>9-T264</f>
        <v>8.4839000000000002</v>
      </c>
      <c r="W264" s="122">
        <f>P264-U264</f>
        <v>10.4839</v>
      </c>
      <c r="X264" s="119">
        <f>IF(V264&lt;=W264,V264,W264)</f>
        <v>8.4839000000000002</v>
      </c>
      <c r="Y264" s="195">
        <f>IF(12-T264-U264-X264&gt;=0,1,0)</f>
        <v>1</v>
      </c>
      <c r="Z264" s="20">
        <f>((('Rate Tables'!E81*$E264)*PersonCalcYr2!$X264)*$F264)*Y264</f>
        <v>0</v>
      </c>
      <c r="AA264" s="197">
        <f>O264-(((U264*U266)+X264)*Y264)</f>
        <v>2</v>
      </c>
      <c r="AB264" s="8">
        <f>IF(AA264&lt;0,AA264*0,1)*AA264</f>
        <v>2</v>
      </c>
      <c r="AC264" s="601">
        <f>S264+(X264*Y264)+((U264*U266)*Y264)</f>
        <v>13</v>
      </c>
      <c r="AD264" s="121" t="str">
        <f>VLOOKUP(AC264,'Lookup Tables'!$A$38:$B$151,2,FALSE)</f>
        <v>July</v>
      </c>
      <c r="AE264" s="36">
        <f>VLOOKUP(AD264,'Lookup Tables'!$A$22:$B$33,2,FALSE)</f>
        <v>1</v>
      </c>
      <c r="AF264" s="34">
        <f>VLOOKUP(AE264,'Lookup Tables'!$A$3:$AA$16,MATCH(PersonCalcYr2!AB264,'Lookup Tables'!$A$3:$AA$3),FALSE)</f>
        <v>1.4839</v>
      </c>
      <c r="AG264" s="12">
        <v>9</v>
      </c>
      <c r="AH264" s="122">
        <f>AB264-AF264</f>
        <v>0.5161</v>
      </c>
      <c r="AI264" s="119">
        <f>IF(AG264&lt;=AH264,AG264,AH264)</f>
        <v>0.5161</v>
      </c>
      <c r="AJ264" s="119">
        <f>IF((AG264+AF264)&lt;=0,0,1)</f>
        <v>1</v>
      </c>
      <c r="AK264" s="124">
        <f>((('Rate Tables'!F81*$E264)*PersonCalcYr2!AI264)*$F264)*AJ264</f>
        <v>0</v>
      </c>
      <c r="AL264" s="28">
        <f>AB264-AF264-AI264</f>
        <v>0</v>
      </c>
      <c r="AM264" s="8">
        <f>IF(AL264&lt;0,AL264*0,1)*AL264</f>
        <v>0</v>
      </c>
      <c r="AN264" s="601">
        <f>AE264+(AI264*AJ264)+((AF264*AF266)*AJ264)</f>
        <v>3</v>
      </c>
      <c r="AO264" s="121" t="str">
        <f>VLOOKUP(AN264,'Lookup Tables'!$A$38:$B$151,2,FALSE)</f>
        <v>Sept</v>
      </c>
      <c r="AP264" s="36">
        <f>VLOOKUP(AO264,'Lookup Tables'!$A$22:$B$33,2,FALSE)</f>
        <v>3</v>
      </c>
      <c r="AQ264" s="34">
        <f>VLOOKUP(AP264,'Lookup Tables'!$A$3:$AA$16,MATCH(PersonCalcYr2!AM264,'Lookup Tables'!$A$3:$AA$3),FALSE)</f>
        <v>0</v>
      </c>
      <c r="AR264" s="12">
        <v>9</v>
      </c>
      <c r="AS264" s="122">
        <f>AM264-AQ264</f>
        <v>0</v>
      </c>
      <c r="AT264" s="119">
        <f>IF(AR264&lt;=AS264,AR264,AS264)</f>
        <v>0</v>
      </c>
      <c r="AU264" s="119">
        <f>IF((AR264+AQ264)&lt;=0,0,1)</f>
        <v>1</v>
      </c>
      <c r="AV264" s="124">
        <f>((('Rate Tables'!G81*$E264)*PersonCalcYr2!AT264)*$F264)*AU264</f>
        <v>0</v>
      </c>
      <c r="AW264" s="28">
        <f>AM264-AQ264-AT264</f>
        <v>0</v>
      </c>
      <c r="AX264" s="19"/>
      <c r="AY264" s="19"/>
      <c r="AZ264" s="12"/>
      <c r="BA264" s="1199"/>
      <c r="BB264" s="349" t="s">
        <v>643</v>
      </c>
      <c r="BC264" s="276"/>
      <c r="BD264" s="285"/>
      <c r="BE264" s="15"/>
    </row>
    <row r="265" spans="1:57" ht="13.5" customHeight="1" x14ac:dyDescent="0.25">
      <c r="A265" s="145"/>
      <c r="B265" s="12"/>
      <c r="C265" s="115"/>
      <c r="D265" s="12"/>
      <c r="E265" s="118"/>
      <c r="F265" s="19"/>
      <c r="G265" s="12"/>
      <c r="H265" s="12"/>
      <c r="I265" s="141"/>
      <c r="J265" s="228" t="s">
        <v>183</v>
      </c>
      <c r="K265" s="13" t="s">
        <v>181</v>
      </c>
      <c r="L265" s="13" t="s">
        <v>179</v>
      </c>
      <c r="M265" s="13" t="s">
        <v>180</v>
      </c>
      <c r="N265" s="660" t="s">
        <v>128</v>
      </c>
      <c r="O265" s="135" t="s">
        <v>130</v>
      </c>
      <c r="P265" s="8"/>
      <c r="Q265" s="123"/>
      <c r="R265" s="12"/>
      <c r="S265" s="12"/>
      <c r="T265" s="12"/>
      <c r="U265" s="12"/>
      <c r="V265" s="228" t="s">
        <v>183</v>
      </c>
      <c r="W265" s="13" t="s">
        <v>181</v>
      </c>
      <c r="X265" s="13" t="s">
        <v>179</v>
      </c>
      <c r="Y265" s="13" t="s">
        <v>180</v>
      </c>
      <c r="Z265" s="13" t="s">
        <v>128</v>
      </c>
      <c r="AA265" s="135" t="s">
        <v>130</v>
      </c>
      <c r="AB265" s="8"/>
      <c r="AC265" s="123"/>
      <c r="AD265" s="12"/>
      <c r="AE265" s="12"/>
      <c r="AF265" s="12"/>
      <c r="AG265" s="228" t="s">
        <v>183</v>
      </c>
      <c r="AH265" s="13" t="s">
        <v>181</v>
      </c>
      <c r="AI265" s="13" t="s">
        <v>179</v>
      </c>
      <c r="AJ265" s="13" t="s">
        <v>180</v>
      </c>
      <c r="AK265" s="52" t="s">
        <v>128</v>
      </c>
      <c r="AL265" s="135" t="s">
        <v>130</v>
      </c>
      <c r="AN265" s="13"/>
      <c r="AO265" s="13"/>
      <c r="AP265" s="13"/>
      <c r="AQ265" s="13"/>
      <c r="AR265" s="228" t="s">
        <v>183</v>
      </c>
      <c r="AS265" s="13" t="s">
        <v>181</v>
      </c>
      <c r="AT265" s="13" t="s">
        <v>179</v>
      </c>
      <c r="AU265" s="13" t="s">
        <v>180</v>
      </c>
      <c r="AV265" s="52" t="s">
        <v>128</v>
      </c>
      <c r="AW265" s="135" t="s">
        <v>130</v>
      </c>
      <c r="AX265" s="13"/>
      <c r="AY265" s="13" t="s">
        <v>159</v>
      </c>
      <c r="AZ265" s="12"/>
      <c r="BA265" s="1199"/>
      <c r="BB265" s="350" t="s">
        <v>644</v>
      </c>
      <c r="BC265" s="227" t="s">
        <v>582</v>
      </c>
      <c r="BD265" s="663">
        <f>IF(BD258&gt;0,1,0)</f>
        <v>0</v>
      </c>
      <c r="BE265" s="15"/>
    </row>
    <row r="266" spans="1:57" ht="13.5" customHeight="1" x14ac:dyDescent="0.25">
      <c r="A266" s="145"/>
      <c r="B266" s="227"/>
      <c r="C266" s="115"/>
      <c r="D266" s="12"/>
      <c r="E266" s="118"/>
      <c r="F266" s="19"/>
      <c r="G266" s="12"/>
      <c r="H266" s="12"/>
      <c r="I266" s="141"/>
      <c r="J266" s="141">
        <f>IF($BA273&gt;0,1,0)</f>
        <v>0</v>
      </c>
      <c r="K266" s="12">
        <f>IF($BA273=0,1,0)</f>
        <v>1</v>
      </c>
      <c r="L266" s="129">
        <f>'Rate Tables'!$P$17</f>
        <v>910</v>
      </c>
      <c r="M266" s="129">
        <f>'Rate Tables'!$Q$17</f>
        <v>933.34</v>
      </c>
      <c r="N266" s="661">
        <f>ROUNDUP(N269,0)</f>
        <v>0</v>
      </c>
      <c r="O266" s="136">
        <f>((J266*L266)+(K266*M266))*N266</f>
        <v>0</v>
      </c>
      <c r="P266" s="8"/>
      <c r="Q266" s="123"/>
      <c r="R266" s="12"/>
      <c r="S266" s="12"/>
      <c r="T266" s="605" t="s">
        <v>573</v>
      </c>
      <c r="U266" s="606">
        <f>VLOOKUP($E$4,'Lookup Tables'!$L$79:$X$91,MATCH(PersonCalcYr2!$S260,'Lookup Tables'!$L$79:$X$79),FALSE)</f>
        <v>1</v>
      </c>
      <c r="V266" s="141">
        <f>IF($BA273&gt;0,1,0)</f>
        <v>0</v>
      </c>
      <c r="W266" s="12">
        <f>IF($BA273=0,1,0)</f>
        <v>1</v>
      </c>
      <c r="X266" s="129">
        <f>'Rate Tables'!$P$18</f>
        <v>910</v>
      </c>
      <c r="Y266" s="129">
        <f>'Rate Tables'!$Q$18</f>
        <v>933.34</v>
      </c>
      <c r="Z266" s="657">
        <f>IF(Y270&lt;=AA271,Y270,AA271)</f>
        <v>0</v>
      </c>
      <c r="AA266" s="136">
        <f>((V266*X266)+(W266*Y266))*Z266</f>
        <v>0</v>
      </c>
      <c r="AB266" s="8"/>
      <c r="AC266" s="123"/>
      <c r="AD266" s="12"/>
      <c r="AE266" s="605" t="s">
        <v>573</v>
      </c>
      <c r="AF266" s="606">
        <v>1</v>
      </c>
      <c r="AG266" s="141">
        <f>IF($BA273&gt;0,1,0)</f>
        <v>0</v>
      </c>
      <c r="AH266" s="12">
        <f>IF($BA273=0,1,0)</f>
        <v>1</v>
      </c>
      <c r="AI266" s="129">
        <f>'Rate Tables'!$P$19</f>
        <v>910</v>
      </c>
      <c r="AJ266" s="129">
        <f>'Rate Tables'!$Q$19</f>
        <v>933.34</v>
      </c>
      <c r="AK266" s="657">
        <f>IF(AJ269&lt;=AL269,AJ269,AL269)</f>
        <v>0</v>
      </c>
      <c r="AL266" s="136">
        <f>((AG266*AI266)+(AH266*AJ266))*AK266</f>
        <v>0</v>
      </c>
      <c r="AN266" s="19"/>
      <c r="AO266" s="19"/>
      <c r="AP266" s="19"/>
      <c r="AQ266" s="19"/>
      <c r="AR266" s="141">
        <f>IF($BA273&gt;0,1,0)</f>
        <v>0</v>
      </c>
      <c r="AS266" s="12">
        <f>IF($BA273=0,1,0)</f>
        <v>1</v>
      </c>
      <c r="AT266" s="129">
        <f>'Rate Tables'!$P$20</f>
        <v>928.2</v>
      </c>
      <c r="AU266" s="129">
        <f>'Rate Tables'!$Q$20</f>
        <v>952</v>
      </c>
      <c r="AV266" s="657">
        <f>IF(AU269&lt;=AW269,AU269,AW269)</f>
        <v>0</v>
      </c>
      <c r="AW266" s="136">
        <f>((AR266*AT266)+(AS266*AU266))*AV266</f>
        <v>0</v>
      </c>
      <c r="AX266" s="19"/>
      <c r="AY266" s="19">
        <f>VLOOKUP(B256,'Lookup Tables'!$AK$22:$AM$24,2,0)</f>
        <v>0</v>
      </c>
      <c r="AZ266" s="12"/>
      <c r="BA266" s="307">
        <f>N269+N270+N271+Z271+Z272+Z273+AK269+AK270+AK271+AV269+AV270+AV271</f>
        <v>9</v>
      </c>
      <c r="BB266" s="358" t="str">
        <f>IF(BB258=50%,"no",Personnel!O86)</f>
        <v>No</v>
      </c>
      <c r="BC266" s="12"/>
      <c r="BD266" s="285"/>
      <c r="BE266" s="15"/>
    </row>
    <row r="267" spans="1:57" ht="13.5" customHeight="1" x14ac:dyDescent="0.25">
      <c r="A267" s="145"/>
      <c r="B267" s="12"/>
      <c r="C267" s="115"/>
      <c r="D267" s="12"/>
      <c r="E267" s="126"/>
      <c r="F267" s="19"/>
      <c r="G267" s="12"/>
      <c r="H267" s="12"/>
      <c r="I267" s="12"/>
      <c r="J267" s="141">
        <f>IF($BA273&gt;0,1,0)</f>
        <v>0</v>
      </c>
      <c r="K267" s="12">
        <f>IF($BA273=0,1,0)</f>
        <v>1</v>
      </c>
      <c r="L267" s="129">
        <f>'Rate Tables'!$P$18</f>
        <v>910</v>
      </c>
      <c r="M267" s="129">
        <f>'Rate Tables'!$Q$18</f>
        <v>933.34</v>
      </c>
      <c r="N267" s="661">
        <f>ROUNDUP(N270,0)</f>
        <v>0</v>
      </c>
      <c r="O267" s="136">
        <f>((J267*L267)+(K267*M267))*N267</f>
        <v>0</v>
      </c>
      <c r="P267" s="19"/>
      <c r="Q267" s="19"/>
      <c r="R267" s="19"/>
      <c r="S267" s="19"/>
      <c r="T267" s="19"/>
      <c r="U267" s="12"/>
      <c r="V267" s="141">
        <f>IF($BA273&gt;0,1,0)</f>
        <v>0</v>
      </c>
      <c r="W267" s="12">
        <f>IF($BA273=0,1,0)</f>
        <v>1</v>
      </c>
      <c r="X267" s="129">
        <f>'Rate Tables'!$P$19</f>
        <v>910</v>
      </c>
      <c r="Y267" s="129">
        <f>'Rate Tables'!$Q$19</f>
        <v>933.34</v>
      </c>
      <c r="Z267" s="657">
        <f>IF(Y270&lt;=AA272,Y270,AA272)</f>
        <v>9</v>
      </c>
      <c r="AA267" s="136">
        <f>((V267*X267)+(W267*Y267))*Z267</f>
        <v>8400.06</v>
      </c>
      <c r="AB267" s="20"/>
      <c r="AC267" s="20"/>
      <c r="AD267" s="20"/>
      <c r="AE267" s="20"/>
      <c r="AF267" s="123"/>
      <c r="AG267" s="141">
        <f>IF($BA273&gt;0,1,0)</f>
        <v>0</v>
      </c>
      <c r="AH267" s="12">
        <f>IF($BA273=0,1,0)</f>
        <v>1</v>
      </c>
      <c r="AI267" s="129">
        <f>'Rate Tables'!$P$20</f>
        <v>928.2</v>
      </c>
      <c r="AJ267" s="129">
        <f>'Rate Tables'!$Q$20</f>
        <v>952</v>
      </c>
      <c r="AK267" s="657">
        <f>IF(AJ269&lt;=AL270,AJ269,AL270)</f>
        <v>0</v>
      </c>
      <c r="AL267" s="136">
        <f>((AG267*AI267)+(AH267*AJ267))*AK267</f>
        <v>0</v>
      </c>
      <c r="AN267" s="19"/>
      <c r="AO267" s="19"/>
      <c r="AP267" s="19"/>
      <c r="AQ267" s="19"/>
      <c r="AR267" s="141">
        <f>IF($BA273&gt;0,1,0)</f>
        <v>0</v>
      </c>
      <c r="AS267" s="12">
        <f>IF($BA273=0,1,0)</f>
        <v>1</v>
      </c>
      <c r="AT267" s="129">
        <f>'Rate Tables'!$P$21</f>
        <v>946.76</v>
      </c>
      <c r="AU267" s="129">
        <f>'Rate Tables'!$Q$21</f>
        <v>971.04</v>
      </c>
      <c r="AV267" s="657">
        <f>IF(AU269&lt;=AW270,AU269,AW270)</f>
        <v>0</v>
      </c>
      <c r="AW267" s="136">
        <f>((AR267*AT267)+(AS267*AU267))*AV267</f>
        <v>0</v>
      </c>
      <c r="AX267" s="19"/>
      <c r="AY267" s="19"/>
      <c r="AZ267" s="12"/>
      <c r="BA267" s="307">
        <f>ROUNDUP(BA266,0)</f>
        <v>9</v>
      </c>
      <c r="BB267" s="349">
        <f>IF(BB266="yes",0.5,1)</f>
        <v>1</v>
      </c>
      <c r="BC267" s="12"/>
      <c r="BD267" s="285"/>
      <c r="BE267" s="15"/>
    </row>
    <row r="268" spans="1:57" ht="13.5" customHeight="1" x14ac:dyDescent="0.25">
      <c r="A268" s="145"/>
      <c r="B268" s="12"/>
      <c r="C268" s="115"/>
      <c r="D268" s="12"/>
      <c r="E268" s="126"/>
      <c r="F268" s="19"/>
      <c r="G268" s="12"/>
      <c r="H268" s="12"/>
      <c r="I268" s="12"/>
      <c r="J268" s="141">
        <f>IF($BA273&gt;0,1,0)</f>
        <v>0</v>
      </c>
      <c r="K268" s="12">
        <f>IF($BA273=0,1,0)</f>
        <v>1</v>
      </c>
      <c r="L268" s="129">
        <f>'Rate Tables'!$P$19</f>
        <v>910</v>
      </c>
      <c r="M268" s="129">
        <f>'Rate Tables'!$Q$19</f>
        <v>933.34</v>
      </c>
      <c r="N268" s="661">
        <f>ROUNDUP(N271,0)</f>
        <v>0</v>
      </c>
      <c r="O268" s="136">
        <f>((J268*L268)+(K268*M268))*N268</f>
        <v>0</v>
      </c>
      <c r="P268" s="19"/>
      <c r="Q268" s="19"/>
      <c r="R268" s="19"/>
      <c r="S268" s="19"/>
      <c r="T268" s="19"/>
      <c r="U268" s="12"/>
      <c r="V268" s="141">
        <f>IF($BA273&gt;0,1,0)</f>
        <v>0</v>
      </c>
      <c r="W268" s="12">
        <f>IF($BA273=0,1,0)</f>
        <v>1</v>
      </c>
      <c r="X268" s="129">
        <f>'Rate Tables'!$P$20</f>
        <v>928.2</v>
      </c>
      <c r="Y268" s="129">
        <f>'Rate Tables'!$Q$20</f>
        <v>952</v>
      </c>
      <c r="Z268" s="657">
        <f>IF(Y270&lt;=AA273,Y270,AA273)</f>
        <v>0</v>
      </c>
      <c r="AA268" s="136">
        <f>((V268*X268)+(W268*Y268))*Z268</f>
        <v>0</v>
      </c>
      <c r="AB268" s="20"/>
      <c r="AC268" s="20"/>
      <c r="AD268" s="20"/>
      <c r="AE268" s="20"/>
      <c r="AF268" s="123"/>
      <c r="AG268" s="141">
        <f>IF($BA273&gt;0,1,0)</f>
        <v>0</v>
      </c>
      <c r="AH268" s="12">
        <f>IF($BA273=0,1,0)</f>
        <v>1</v>
      </c>
      <c r="AI268" s="129">
        <f>'Rate Tables'!$P$21</f>
        <v>946.76</v>
      </c>
      <c r="AJ268" s="129">
        <f>'Rate Tables'!$Q$21</f>
        <v>971.04</v>
      </c>
      <c r="AK268" s="657">
        <f>IF(AJ269&lt;=AL271,AJ269,AL271)</f>
        <v>0</v>
      </c>
      <c r="AL268" s="136">
        <f>((AG268*AI268)+(AH268*AJ268))*AK268</f>
        <v>0</v>
      </c>
      <c r="AN268" s="19"/>
      <c r="AO268" s="19"/>
      <c r="AP268" s="19"/>
      <c r="AQ268" s="19"/>
      <c r="AR268" s="141">
        <f>IF($BA273&gt;0,1,0)</f>
        <v>0</v>
      </c>
      <c r="AS268" s="12">
        <f>IF($BA273=0,1,0)</f>
        <v>1</v>
      </c>
      <c r="AT268" s="129">
        <f>'Rate Tables'!$P$22</f>
        <v>965.7</v>
      </c>
      <c r="AU268" s="129">
        <f>'Rate Tables'!$Q$22</f>
        <v>990.46</v>
      </c>
      <c r="AV268" s="657">
        <f>IF(AU269&lt;=AW271,AU269,AW271)</f>
        <v>0</v>
      </c>
      <c r="AW268" s="136">
        <f>((AR268*AT268)+(AS268*AU268))*AV268</f>
        <v>0</v>
      </c>
      <c r="AX268" s="19"/>
      <c r="AY268" s="19"/>
      <c r="AZ268" s="12"/>
      <c r="BA268" s="307"/>
      <c r="BB268" s="349"/>
      <c r="BC268" s="12"/>
      <c r="BD268" s="285"/>
      <c r="BE268" s="15"/>
    </row>
    <row r="269" spans="1:57" ht="13.5" customHeight="1" x14ac:dyDescent="0.25">
      <c r="A269" s="145"/>
      <c r="B269" s="12"/>
      <c r="C269" s="115"/>
      <c r="D269" s="12"/>
      <c r="E269" s="126"/>
      <c r="F269" s="19"/>
      <c r="G269" s="12"/>
      <c r="H269" s="12"/>
      <c r="I269" s="12"/>
      <c r="J269" s="141"/>
      <c r="K269" s="12"/>
      <c r="L269" s="129"/>
      <c r="M269" s="129"/>
      <c r="N269" s="661">
        <f>L260*M260*F260</f>
        <v>0</v>
      </c>
      <c r="O269" s="136"/>
      <c r="P269" s="19"/>
      <c r="Q269" s="19"/>
      <c r="R269" s="19"/>
      <c r="S269" s="19"/>
      <c r="T269" s="19"/>
      <c r="U269" s="12"/>
      <c r="V269" s="141"/>
      <c r="W269" s="12"/>
      <c r="X269" s="129"/>
      <c r="Y269" s="129"/>
      <c r="Z269" s="657"/>
      <c r="AA269" s="125"/>
      <c r="AB269" s="20"/>
      <c r="AC269" s="20"/>
      <c r="AD269" s="20"/>
      <c r="AE269" s="20"/>
      <c r="AF269" s="123"/>
      <c r="AG269" s="141"/>
      <c r="AH269" s="12"/>
      <c r="AI269" s="653" t="s">
        <v>581</v>
      </c>
      <c r="AJ269" s="653">
        <f>Y270-Z266-Z267-Z268</f>
        <v>0</v>
      </c>
      <c r="AK269" s="654">
        <f>AI260*AJ260*F260</f>
        <v>0</v>
      </c>
      <c r="AL269" s="655">
        <f>ROUNDUP(AK269,0)</f>
        <v>0</v>
      </c>
      <c r="AN269" s="19"/>
      <c r="AO269" s="19"/>
      <c r="AP269" s="19"/>
      <c r="AQ269" s="19"/>
      <c r="AR269" s="141"/>
      <c r="AS269" s="12"/>
      <c r="AT269" s="653" t="s">
        <v>581</v>
      </c>
      <c r="AU269" s="653">
        <f>AJ269-AK266-AK267*AK268</f>
        <v>0</v>
      </c>
      <c r="AV269" s="654">
        <f>AT260*AU260*F260</f>
        <v>0</v>
      </c>
      <c r="AW269" s="655">
        <f>ROUNDUP(AV269,0)</f>
        <v>0</v>
      </c>
      <c r="AX269" s="19"/>
      <c r="AY269" s="19"/>
      <c r="AZ269" s="12"/>
      <c r="BA269" s="307"/>
      <c r="BB269" s="349"/>
      <c r="BC269" s="12"/>
      <c r="BD269" s="285"/>
      <c r="BE269" s="15"/>
    </row>
    <row r="270" spans="1:57" ht="13.5" customHeight="1" thickBot="1" x14ac:dyDescent="0.3">
      <c r="A270" s="145"/>
      <c r="B270" s="12"/>
      <c r="C270" s="115"/>
      <c r="D270" s="12"/>
      <c r="E270" s="126"/>
      <c r="F270" s="19"/>
      <c r="G270" s="12" t="s">
        <v>585</v>
      </c>
      <c r="H270" s="12"/>
      <c r="I270" s="12"/>
      <c r="J270" s="141"/>
      <c r="K270" s="12"/>
      <c r="L270" s="129"/>
      <c r="M270" s="129"/>
      <c r="N270" s="661">
        <f>L262*M262*F262</f>
        <v>0</v>
      </c>
      <c r="O270" s="136"/>
      <c r="P270" s="19"/>
      <c r="Q270" s="19"/>
      <c r="R270" s="19"/>
      <c r="S270" s="19"/>
      <c r="T270" s="19"/>
      <c r="U270" s="12"/>
      <c r="V270" s="141"/>
      <c r="W270" s="12"/>
      <c r="X270" s="653" t="s">
        <v>581</v>
      </c>
      <c r="Y270" s="653">
        <f>BA267-N266-N267-N268</f>
        <v>9</v>
      </c>
      <c r="Z270" s="657"/>
      <c r="AA270" s="125"/>
      <c r="AB270" s="20"/>
      <c r="AC270" s="20"/>
      <c r="AD270" s="20"/>
      <c r="AE270" s="20"/>
      <c r="AF270" s="123"/>
      <c r="AG270" s="141"/>
      <c r="AH270" s="12"/>
      <c r="AI270" s="122"/>
      <c r="AJ270" s="122"/>
      <c r="AK270" s="744">
        <f>AI262*AJ262*F262</f>
        <v>0.5161</v>
      </c>
      <c r="AL270" s="732">
        <f>ROUNDUP(AK270,0)</f>
        <v>1</v>
      </c>
      <c r="AN270" s="19"/>
      <c r="AO270" s="19"/>
      <c r="AP270" s="19"/>
      <c r="AQ270" s="19"/>
      <c r="AR270" s="141"/>
      <c r="AS270" s="12"/>
      <c r="AT270" s="129"/>
      <c r="AU270" s="129"/>
      <c r="AV270" s="731">
        <f>AT262*AU262*F262</f>
        <v>0</v>
      </c>
      <c r="AW270" s="732">
        <f>ROUNDUP(AV270,0)</f>
        <v>0</v>
      </c>
      <c r="AX270" s="19"/>
      <c r="AY270" s="19"/>
      <c r="AZ270" s="12"/>
      <c r="BA270" s="307"/>
      <c r="BB270" s="349"/>
      <c r="BC270" s="12"/>
      <c r="BD270" s="285"/>
      <c r="BE270" s="15"/>
    </row>
    <row r="271" spans="1:57" ht="13.5" customHeight="1" x14ac:dyDescent="0.25">
      <c r="A271" s="145"/>
      <c r="B271" s="12"/>
      <c r="C271" s="180" t="s">
        <v>606</v>
      </c>
      <c r="D271" s="12"/>
      <c r="E271" s="126"/>
      <c r="F271" s="19"/>
      <c r="G271" s="12"/>
      <c r="H271" s="12"/>
      <c r="I271" s="12"/>
      <c r="J271" s="12"/>
      <c r="K271" s="12"/>
      <c r="L271" s="12"/>
      <c r="M271" s="12"/>
      <c r="N271" s="662">
        <f>L264*M264*F264</f>
        <v>0</v>
      </c>
      <c r="O271" s="18"/>
      <c r="P271" s="19"/>
      <c r="Q271" s="19"/>
      <c r="R271" s="19"/>
      <c r="S271" s="19"/>
      <c r="T271" s="19"/>
      <c r="U271" s="12"/>
      <c r="V271" s="122"/>
      <c r="W271" s="122"/>
      <c r="X271" s="122"/>
      <c r="Y271" s="119"/>
      <c r="Z271" s="654">
        <f>X260*Y260*F260</f>
        <v>0</v>
      </c>
      <c r="AA271" s="655">
        <f>ROUNDUP(Z271,0)</f>
        <v>0</v>
      </c>
      <c r="AB271" s="20"/>
      <c r="AC271" s="20"/>
      <c r="AD271" s="20"/>
      <c r="AE271" s="20"/>
      <c r="AF271" s="123"/>
      <c r="AG271" s="122"/>
      <c r="AH271" s="122"/>
      <c r="AK271" s="658">
        <f>AI264*AJ264*F264</f>
        <v>0</v>
      </c>
      <c r="AL271" s="659">
        <f>ROUNDUP(AK271,0)</f>
        <v>0</v>
      </c>
      <c r="AN271" s="19"/>
      <c r="AO271" s="19"/>
      <c r="AP271" s="19"/>
      <c r="AQ271" s="19"/>
      <c r="AR271" s="122"/>
      <c r="AS271" s="122"/>
      <c r="AT271" s="122"/>
      <c r="AU271" s="122"/>
      <c r="AV271" s="733">
        <f>AT264*AU264*F264</f>
        <v>0</v>
      </c>
      <c r="AW271" s="659">
        <f>ROUNDUP(AV271,0)</f>
        <v>0</v>
      </c>
      <c r="AX271" s="19"/>
      <c r="AY271" s="19"/>
      <c r="AZ271" s="12"/>
      <c r="BA271" s="370" t="s">
        <v>411</v>
      </c>
      <c r="BB271" s="352" t="str">
        <f>Personnel!O84</f>
        <v>None</v>
      </c>
      <c r="BC271" s="276" t="s">
        <v>117</v>
      </c>
      <c r="BD271" s="285">
        <f>(N273+N275+N277+W273+W275+W277+AJ273+AJ275+AJ277+AU273+AU275+AU277)*AY273</f>
        <v>0</v>
      </c>
      <c r="BE271" s="15"/>
    </row>
    <row r="272" spans="1:57" ht="13.5" customHeight="1" x14ac:dyDescent="0.25">
      <c r="A272" s="145"/>
      <c r="B272" s="12"/>
      <c r="C272" s="117" t="s">
        <v>30</v>
      </c>
      <c r="D272" s="12"/>
      <c r="E272" s="13" t="s">
        <v>84</v>
      </c>
      <c r="F272" s="13" t="s">
        <v>42</v>
      </c>
      <c r="G272" s="13" t="s">
        <v>41</v>
      </c>
      <c r="H272" s="65" t="s">
        <v>77</v>
      </c>
      <c r="I272" s="137" t="s">
        <v>101</v>
      </c>
      <c r="J272" s="139" t="s">
        <v>102</v>
      </c>
      <c r="K272" s="127" t="s">
        <v>98</v>
      </c>
      <c r="L272" s="13" t="s">
        <v>100</v>
      </c>
      <c r="M272" s="13" t="s">
        <v>82</v>
      </c>
      <c r="N272" s="13" t="s">
        <v>31</v>
      </c>
      <c r="O272" s="14" t="s">
        <v>69</v>
      </c>
      <c r="P272" s="13" t="s">
        <v>72</v>
      </c>
      <c r="Q272" s="13" t="s">
        <v>103</v>
      </c>
      <c r="R272" s="65" t="s">
        <v>77</v>
      </c>
      <c r="S272" s="137" t="s">
        <v>101</v>
      </c>
      <c r="T272" s="139" t="s">
        <v>102</v>
      </c>
      <c r="U272" s="12" t="s">
        <v>98</v>
      </c>
      <c r="V272" s="13" t="s">
        <v>100</v>
      </c>
      <c r="W272" s="13" t="s">
        <v>32</v>
      </c>
      <c r="X272" s="13" t="s">
        <v>69</v>
      </c>
      <c r="Y272" s="13"/>
      <c r="Z272" s="744">
        <f>X262*Y262*F262</f>
        <v>8.4839000000000002</v>
      </c>
      <c r="AA272" s="732">
        <f>ROUNDUP(Z272,0)</f>
        <v>9</v>
      </c>
      <c r="AB272" s="13" t="s">
        <v>72</v>
      </c>
      <c r="AC272" s="13" t="s">
        <v>103</v>
      </c>
      <c r="AD272" s="13"/>
      <c r="AE272" s="65" t="s">
        <v>77</v>
      </c>
      <c r="AF272" s="137" t="s">
        <v>101</v>
      </c>
      <c r="AG272" s="139" t="s">
        <v>102</v>
      </c>
      <c r="AH272" s="12" t="s">
        <v>98</v>
      </c>
      <c r="AI272" s="13" t="s">
        <v>100</v>
      </c>
      <c r="AJ272" s="13" t="s">
        <v>33</v>
      </c>
      <c r="AK272" s="13" t="s">
        <v>69</v>
      </c>
      <c r="AL272" s="18"/>
      <c r="AM272" s="13" t="s">
        <v>72</v>
      </c>
      <c r="AN272" s="13" t="s">
        <v>103</v>
      </c>
      <c r="AO272" s="13"/>
      <c r="AP272" s="65" t="s">
        <v>77</v>
      </c>
      <c r="AQ272" s="137" t="s">
        <v>101</v>
      </c>
      <c r="AR272" s="139" t="s">
        <v>102</v>
      </c>
      <c r="AS272" s="12" t="s">
        <v>98</v>
      </c>
      <c r="AT272" s="13" t="s">
        <v>100</v>
      </c>
      <c r="AU272" s="13" t="s">
        <v>33</v>
      </c>
      <c r="AV272" s="13" t="s">
        <v>69</v>
      </c>
      <c r="AW272" s="18"/>
      <c r="AX272" s="13"/>
      <c r="AY272" s="13" t="s">
        <v>159</v>
      </c>
      <c r="AZ272" s="12"/>
      <c r="BA272" s="276" t="s">
        <v>95</v>
      </c>
      <c r="BB272" s="349"/>
      <c r="BC272" s="276" t="s">
        <v>186</v>
      </c>
      <c r="BD272" s="285">
        <f>BD271*'Rate Tables'!P$8</f>
        <v>0</v>
      </c>
      <c r="BE272" s="15"/>
    </row>
    <row r="273" spans="1:57" ht="13.5" customHeight="1" x14ac:dyDescent="0.25">
      <c r="A273" s="145"/>
      <c r="B273" s="12"/>
      <c r="C273" s="115"/>
      <c r="D273" s="12"/>
      <c r="E273" s="211">
        <f>IF(H294&lt;=H295,H294,H295)</f>
        <v>0</v>
      </c>
      <c r="F273" s="19">
        <f>IF($D$4=2022,1,0)</f>
        <v>0</v>
      </c>
      <c r="G273" s="178">
        <f>IF($B294="Yes",$C$5,$I293)</f>
        <v>12</v>
      </c>
      <c r="H273" s="36">
        <f>H260</f>
        <v>3</v>
      </c>
      <c r="I273" s="138">
        <f>VLOOKUP(J260,'Lookup Tables'!$AB$22:$AC$31,2,FALSE)</f>
        <v>32</v>
      </c>
      <c r="J273" s="140">
        <f>VLOOKUP(U260,'Lookup Tables'!$AB$32:$AC$41,2,FALSE)</f>
        <v>33</v>
      </c>
      <c r="K273" s="123">
        <f>E273-J273</f>
        <v>-33</v>
      </c>
      <c r="L273" s="12">
        <f>IF(K273&gt;0,1,0)</f>
        <v>0</v>
      </c>
      <c r="M273" s="119">
        <f>M260</f>
        <v>0</v>
      </c>
      <c r="N273" s="15">
        <f>((((('Rate Tables'!B81*9)*0.02778)/5)*K273)*L273)*F273*M273*BA275</f>
        <v>0</v>
      </c>
      <c r="O273" s="28">
        <f>O260</f>
        <v>12</v>
      </c>
      <c r="P273" s="8">
        <f>IF(O273&lt;0,O273*0,1)*O273</f>
        <v>12</v>
      </c>
      <c r="Q273" s="123">
        <f>(E273-K273*F273*L273*M273)</f>
        <v>0</v>
      </c>
      <c r="R273" s="36">
        <f>S260</f>
        <v>3</v>
      </c>
      <c r="S273" s="138">
        <f>VLOOKUP(U260,'Lookup Tables'!$AB$22:$AC$31,2,FALSE)</f>
        <v>32</v>
      </c>
      <c r="T273" s="140">
        <f>VLOOKUP(AF260,'Lookup Tables'!$AB$32:$AC$41,2,FALSE)</f>
        <v>33</v>
      </c>
      <c r="U273" s="129">
        <f>Q273-T273</f>
        <v>-33</v>
      </c>
      <c r="V273" s="12">
        <f>IF(U273&gt;0,1,0)</f>
        <v>0</v>
      </c>
      <c r="W273" s="15">
        <f>((('Rate Tables'!C81*9)*0.02778)/5)*U273*F273*V273*BA275</f>
        <v>0</v>
      </c>
      <c r="X273" s="8">
        <f>AA260</f>
        <v>2</v>
      </c>
      <c r="Y273" s="12"/>
      <c r="Z273" s="658">
        <f>X264*Y264*F264</f>
        <v>0</v>
      </c>
      <c r="AA273" s="659">
        <f>ROUNDUP(Z273,0)</f>
        <v>0</v>
      </c>
      <c r="AB273" s="8">
        <f>IF(X273&lt;0,X273*0,1)*X273</f>
        <v>2</v>
      </c>
      <c r="AC273" s="123">
        <f>Q273-(U273*V273)</f>
        <v>0</v>
      </c>
      <c r="AD273" s="12"/>
      <c r="AE273" s="36">
        <f>AE260</f>
        <v>1</v>
      </c>
      <c r="AF273" s="138">
        <f>VLOOKUP(AF260,'Lookup Tables'!$AB$22:$AC$31,2,FALSE)</f>
        <v>32</v>
      </c>
      <c r="AG273" s="140">
        <f>VLOOKUP(AQ260,'Lookup Tables'!$AB$32:$AC$41,2,FALSE)</f>
        <v>0</v>
      </c>
      <c r="AH273" s="125">
        <f>AC273-AG273</f>
        <v>0</v>
      </c>
      <c r="AI273" s="12">
        <f>IF(AH273&gt;0,1,0)</f>
        <v>0</v>
      </c>
      <c r="AJ273" s="15">
        <f>((('Rate Tables'!D81*9)*0.02778)/5)*AH273*AI273*F273*BA275</f>
        <v>0</v>
      </c>
      <c r="AK273" s="8">
        <f>AL260</f>
        <v>0</v>
      </c>
      <c r="AL273" s="18"/>
      <c r="AM273" s="8">
        <f>IF(AK273&lt;0,AK273*0,1)*AK273</f>
        <v>0</v>
      </c>
      <c r="AN273" s="123">
        <f>AC273-(AH273*AI273)</f>
        <v>0</v>
      </c>
      <c r="AO273" s="123"/>
      <c r="AP273" s="36">
        <f>AP260</f>
        <v>3</v>
      </c>
      <c r="AQ273" s="138">
        <f>VLOOKUP(AQ260,'Lookup Tables'!$AB$22:$AC$31,2,FALSE)</f>
        <v>0</v>
      </c>
      <c r="AR273" s="140">
        <v>0</v>
      </c>
      <c r="AS273" s="125">
        <f>AN273-AR273</f>
        <v>0</v>
      </c>
      <c r="AT273" s="12">
        <f>IF(AS273&gt;0,1,0)</f>
        <v>0</v>
      </c>
      <c r="AU273" s="15">
        <f>((('Rate Tables'!E81*9)*0.02778)/5)*AS273*AT273*F273*BA275</f>
        <v>0</v>
      </c>
      <c r="AV273" s="8">
        <f>AW260</f>
        <v>0</v>
      </c>
      <c r="AW273" s="18"/>
      <c r="AX273" s="19"/>
      <c r="AY273" s="19">
        <f>VLOOKUP(B256,'Lookup Tables'!$AK$22:$AM$24,2,0)</f>
        <v>0</v>
      </c>
      <c r="AZ273" s="12"/>
      <c r="BA273" s="308">
        <f>VLOOKUP(BB271,'Lookup Tables'!$AF$22:$AG$24,2,FALSE)</f>
        <v>0</v>
      </c>
      <c r="BB273" s="350"/>
      <c r="BC273" s="12"/>
      <c r="BD273" s="285"/>
      <c r="BE273" s="15"/>
    </row>
    <row r="274" spans="1:57" ht="13.5" customHeight="1" x14ac:dyDescent="0.25">
      <c r="A274" s="145"/>
      <c r="B274" s="12"/>
      <c r="C274" s="117" t="s">
        <v>597</v>
      </c>
      <c r="D274" s="12"/>
      <c r="E274" s="13" t="s">
        <v>84</v>
      </c>
      <c r="F274" s="13" t="s">
        <v>42</v>
      </c>
      <c r="G274" s="13" t="s">
        <v>41</v>
      </c>
      <c r="H274" s="65" t="s">
        <v>77</v>
      </c>
      <c r="I274" s="137" t="s">
        <v>105</v>
      </c>
      <c r="J274" s="139" t="s">
        <v>106</v>
      </c>
      <c r="K274" s="127" t="s">
        <v>99</v>
      </c>
      <c r="L274" s="13" t="s">
        <v>100</v>
      </c>
      <c r="M274" s="13" t="s">
        <v>82</v>
      </c>
      <c r="N274" s="13" t="s">
        <v>32</v>
      </c>
      <c r="O274" s="14" t="s">
        <v>69</v>
      </c>
      <c r="P274" s="13" t="s">
        <v>72</v>
      </c>
      <c r="Q274" s="13" t="s">
        <v>103</v>
      </c>
      <c r="R274" s="65" t="s">
        <v>77</v>
      </c>
      <c r="S274" s="137" t="s">
        <v>105</v>
      </c>
      <c r="T274" s="139" t="s">
        <v>106</v>
      </c>
      <c r="U274" s="12" t="s">
        <v>98</v>
      </c>
      <c r="V274" s="13" t="s">
        <v>100</v>
      </c>
      <c r="W274" s="13" t="s">
        <v>33</v>
      </c>
      <c r="X274" s="13" t="s">
        <v>69</v>
      </c>
      <c r="Y274" s="13"/>
      <c r="Z274" s="13"/>
      <c r="AA274" s="18"/>
      <c r="AB274" s="13" t="s">
        <v>72</v>
      </c>
      <c r="AC274" s="13" t="s">
        <v>104</v>
      </c>
      <c r="AD274" s="13"/>
      <c r="AE274" s="65" t="s">
        <v>77</v>
      </c>
      <c r="AF274" s="137" t="s">
        <v>105</v>
      </c>
      <c r="AG274" s="139" t="s">
        <v>106</v>
      </c>
      <c r="AH274" s="12" t="s">
        <v>98</v>
      </c>
      <c r="AI274" s="13" t="s">
        <v>100</v>
      </c>
      <c r="AJ274" s="13" t="s">
        <v>34</v>
      </c>
      <c r="AK274" s="13" t="s">
        <v>69</v>
      </c>
      <c r="AL274" s="18"/>
      <c r="AM274" s="13" t="s">
        <v>72</v>
      </c>
      <c r="AN274" s="13" t="s">
        <v>104</v>
      </c>
      <c r="AO274" s="13"/>
      <c r="AP274" s="65" t="s">
        <v>77</v>
      </c>
      <c r="AQ274" s="137" t="s">
        <v>105</v>
      </c>
      <c r="AR274" s="139" t="s">
        <v>106</v>
      </c>
      <c r="AS274" s="12" t="s">
        <v>98</v>
      </c>
      <c r="AT274" s="13" t="s">
        <v>100</v>
      </c>
      <c r="AU274" s="13" t="s">
        <v>34</v>
      </c>
      <c r="AV274" s="13" t="s">
        <v>69</v>
      </c>
      <c r="AW274" s="18"/>
      <c r="AX274" s="13"/>
      <c r="AY274" s="13"/>
      <c r="AZ274" s="12"/>
      <c r="BA274" s="227" t="s">
        <v>126</v>
      </c>
      <c r="BB274" s="349" t="s">
        <v>643</v>
      </c>
      <c r="BC274" s="276" t="s">
        <v>187</v>
      </c>
      <c r="BD274" s="285">
        <f>(((O279+O280+O281+AA279+AA280+AA281+AL279+AL280+AL281+AW279+AW280+AW281)*AY279)*BD275)*BB277</f>
        <v>0</v>
      </c>
      <c r="BE274" s="15"/>
    </row>
    <row r="275" spans="1:57" ht="13.5" customHeight="1" x14ac:dyDescent="0.25">
      <c r="A275" s="145"/>
      <c r="B275" s="12"/>
      <c r="C275" s="115"/>
      <c r="D275" s="12"/>
      <c r="E275" s="128">
        <f>E273</f>
        <v>0</v>
      </c>
      <c r="F275" s="19">
        <f>IF($D$4=2023,1,0)</f>
        <v>1</v>
      </c>
      <c r="G275" s="178">
        <f>IF($B294="Yes",$C$5,$I293)</f>
        <v>12</v>
      </c>
      <c r="H275" s="36">
        <f>H262</f>
        <v>3</v>
      </c>
      <c r="I275" s="138">
        <f>VLOOKUP(J262,'Lookup Tables'!$AB$22:$AC$31,2,FALSE)</f>
        <v>32</v>
      </c>
      <c r="J275" s="140">
        <f>VLOOKUP(U262,'Lookup Tables'!$AB$32:$AC$41,2,FALSE)</f>
        <v>33</v>
      </c>
      <c r="K275" s="123">
        <f>E275-J275</f>
        <v>-33</v>
      </c>
      <c r="L275" s="12">
        <f>IF(K275&gt;0,1,0)</f>
        <v>0</v>
      </c>
      <c r="M275" s="119">
        <f>M262</f>
        <v>0</v>
      </c>
      <c r="N275" s="15">
        <f>((((('Rate Tables'!C81*9)*0.02778)/5)*K275)*L275)*F275*M275*BA275</f>
        <v>0</v>
      </c>
      <c r="O275" s="28">
        <f>O262</f>
        <v>12</v>
      </c>
      <c r="P275" s="8">
        <f>IF(O275&lt;0,O275*0,1)*O275</f>
        <v>12</v>
      </c>
      <c r="Q275" s="123">
        <f>(E275-K275*F275*L275*M275)</f>
        <v>0</v>
      </c>
      <c r="R275" s="36">
        <f>S262</f>
        <v>3</v>
      </c>
      <c r="S275" s="138">
        <f>VLOOKUP(U262,'Lookup Tables'!$AB$22:$AC$31,2,FALSE)</f>
        <v>32</v>
      </c>
      <c r="T275" s="140">
        <f>VLOOKUP(AF262,'Lookup Tables'!$AB$32:$AC$41,2,FALSE)</f>
        <v>33</v>
      </c>
      <c r="U275" s="129">
        <f>Q275-T275</f>
        <v>-33</v>
      </c>
      <c r="V275" s="12">
        <f>IF(U275&gt;0,1,0)</f>
        <v>0</v>
      </c>
      <c r="W275" s="15">
        <f>((('Rate Tables'!D81*9)*0.02778)/5)*U275*F275*V275*BA275</f>
        <v>0</v>
      </c>
      <c r="X275" s="8">
        <f>AA262</f>
        <v>2</v>
      </c>
      <c r="Y275" s="12"/>
      <c r="Z275" s="119"/>
      <c r="AA275" s="18"/>
      <c r="AB275" s="8">
        <f>IF(X275&lt;0,X275*0,1)*X275</f>
        <v>2</v>
      </c>
      <c r="AC275" s="123">
        <f>Q275-(U275*V275)</f>
        <v>0</v>
      </c>
      <c r="AD275" s="12"/>
      <c r="AE275" s="36">
        <f>AE262</f>
        <v>1</v>
      </c>
      <c r="AF275" s="138">
        <f>VLOOKUP(AF262,'Lookup Tables'!$AB$22:$AC$31,2,FALSE)</f>
        <v>32</v>
      </c>
      <c r="AG275" s="140">
        <f>VLOOKUP(AQ262,'Lookup Tables'!$AB$32:$AC$41,2,FALSE)</f>
        <v>0</v>
      </c>
      <c r="AH275" s="125">
        <f>AC275-AG275</f>
        <v>0</v>
      </c>
      <c r="AI275" s="12">
        <f>IF(AH275&gt;0,1,0)</f>
        <v>0</v>
      </c>
      <c r="AJ275" s="15">
        <f>((('Rate Tables'!E81*9)*0.02778)/5)*AH275*AI275*F275*BA275</f>
        <v>0</v>
      </c>
      <c r="AK275" s="8">
        <f>AL262</f>
        <v>0</v>
      </c>
      <c r="AL275" s="18"/>
      <c r="AM275" s="8">
        <f>IF(AK275&lt;0,AK275*0,1)*AK275</f>
        <v>0</v>
      </c>
      <c r="AN275" s="123">
        <f>AC275-(AH275*AI275)</f>
        <v>0</v>
      </c>
      <c r="AO275" s="12"/>
      <c r="AP275" s="36">
        <f>AP262</f>
        <v>3</v>
      </c>
      <c r="AQ275" s="138">
        <f>VLOOKUP(AQ262,'Lookup Tables'!$AB$22:$AC$31,2,FALSE)</f>
        <v>0</v>
      </c>
      <c r="AR275" s="140">
        <v>0</v>
      </c>
      <c r="AS275" s="125">
        <f>AN275-AR275</f>
        <v>0</v>
      </c>
      <c r="AT275" s="12">
        <f>IF(AS275&gt;0,1,0)</f>
        <v>0</v>
      </c>
      <c r="AU275" s="15">
        <f>((('Rate Tables'!F81*9)*0.02778)/5)*AS275*AT275*F275*BA275</f>
        <v>0</v>
      </c>
      <c r="AV275" s="8">
        <f>AW262</f>
        <v>0</v>
      </c>
      <c r="AW275" s="18"/>
      <c r="AX275" s="19"/>
      <c r="AY275" s="19"/>
      <c r="AZ275" s="12"/>
      <c r="BA275" s="319">
        <f>VLOOKUP(BB271,'Lookup Tables'!$AF$26:$AG$28,2,0)</f>
        <v>0</v>
      </c>
      <c r="BB275" s="350" t="s">
        <v>644</v>
      </c>
      <c r="BC275" s="227" t="s">
        <v>582</v>
      </c>
      <c r="BD275" s="663">
        <f>IF(BD271&gt;0,1,0)</f>
        <v>0</v>
      </c>
      <c r="BE275" s="15"/>
    </row>
    <row r="276" spans="1:57" ht="13.5" customHeight="1" x14ac:dyDescent="0.25">
      <c r="A276" s="145"/>
      <c r="B276" s="12"/>
      <c r="C276" s="117" t="s">
        <v>664</v>
      </c>
      <c r="D276" s="12"/>
      <c r="E276" s="13" t="s">
        <v>84</v>
      </c>
      <c r="F276" s="13" t="s">
        <v>42</v>
      </c>
      <c r="G276" s="13" t="s">
        <v>41</v>
      </c>
      <c r="H276" s="65" t="s">
        <v>77</v>
      </c>
      <c r="I276" s="137" t="s">
        <v>105</v>
      </c>
      <c r="J276" s="139" t="s">
        <v>106</v>
      </c>
      <c r="K276" s="127" t="s">
        <v>99</v>
      </c>
      <c r="L276" s="13" t="s">
        <v>100</v>
      </c>
      <c r="M276" s="13" t="s">
        <v>82</v>
      </c>
      <c r="N276" s="13" t="s">
        <v>32</v>
      </c>
      <c r="O276" s="14" t="s">
        <v>69</v>
      </c>
      <c r="P276" s="13" t="s">
        <v>72</v>
      </c>
      <c r="Q276" s="13" t="s">
        <v>103</v>
      </c>
      <c r="R276" s="65" t="s">
        <v>77</v>
      </c>
      <c r="S276" s="137" t="s">
        <v>105</v>
      </c>
      <c r="T276" s="139" t="s">
        <v>106</v>
      </c>
      <c r="U276" s="12" t="s">
        <v>98</v>
      </c>
      <c r="V276" s="13" t="s">
        <v>100</v>
      </c>
      <c r="W276" s="13" t="s">
        <v>33</v>
      </c>
      <c r="X276" s="13" t="s">
        <v>69</v>
      </c>
      <c r="Y276" s="13"/>
      <c r="Z276" s="13"/>
      <c r="AA276" s="18"/>
      <c r="AB276" s="13" t="s">
        <v>72</v>
      </c>
      <c r="AC276" s="13" t="s">
        <v>104</v>
      </c>
      <c r="AD276" s="13"/>
      <c r="AE276" s="65" t="s">
        <v>77</v>
      </c>
      <c r="AF276" s="137" t="s">
        <v>105</v>
      </c>
      <c r="AG276" s="139" t="s">
        <v>106</v>
      </c>
      <c r="AH276" s="12" t="s">
        <v>98</v>
      </c>
      <c r="AI276" s="13" t="s">
        <v>100</v>
      </c>
      <c r="AJ276" s="13" t="s">
        <v>34</v>
      </c>
      <c r="AK276" s="13" t="s">
        <v>69</v>
      </c>
      <c r="AL276" s="18"/>
      <c r="AM276" s="13" t="s">
        <v>72</v>
      </c>
      <c r="AN276" s="13" t="s">
        <v>104</v>
      </c>
      <c r="AO276" s="13"/>
      <c r="AP276" s="65" t="s">
        <v>77</v>
      </c>
      <c r="AQ276" s="137" t="s">
        <v>105</v>
      </c>
      <c r="AR276" s="139" t="s">
        <v>106</v>
      </c>
      <c r="AS276" s="12" t="s">
        <v>98</v>
      </c>
      <c r="AT276" s="13" t="s">
        <v>100</v>
      </c>
      <c r="AU276" s="13" t="s">
        <v>34</v>
      </c>
      <c r="AV276" s="13" t="s">
        <v>69</v>
      </c>
      <c r="AW276" s="18"/>
      <c r="AX276" s="19"/>
      <c r="AY276" s="19"/>
      <c r="AZ276" s="12"/>
      <c r="BA276" s="227"/>
      <c r="BB276" s="358" t="str">
        <f>IF(BB271="50% sum","no",Personnel!O86)</f>
        <v>No</v>
      </c>
      <c r="BC276" s="12"/>
      <c r="BD276" s="285"/>
      <c r="BE276" s="15"/>
    </row>
    <row r="277" spans="1:57" ht="13.5" customHeight="1" x14ac:dyDescent="0.25">
      <c r="A277" s="145"/>
      <c r="B277" s="12"/>
      <c r="C277" s="115"/>
      <c r="D277" s="12"/>
      <c r="E277" s="128">
        <f>E275</f>
        <v>0</v>
      </c>
      <c r="F277" s="19">
        <f>IF($D$4=2024,1,0)</f>
        <v>0</v>
      </c>
      <c r="G277" s="178">
        <f>IF($B294="Yes",$C$5,$I293)</f>
        <v>12</v>
      </c>
      <c r="H277" s="36">
        <f>H264</f>
        <v>3</v>
      </c>
      <c r="I277" s="138">
        <f>VLOOKUP(J264,'Lookup Tables'!$AB$22:$AC$31,2,FALSE)</f>
        <v>32</v>
      </c>
      <c r="J277" s="140">
        <f>VLOOKUP(U264,'Lookup Tables'!$AB$32:$AC$41,2,FALSE)</f>
        <v>33</v>
      </c>
      <c r="K277" s="123">
        <f>E277-J277</f>
        <v>-33</v>
      </c>
      <c r="L277" s="12">
        <f>IF(K277&gt;0,1,0)</f>
        <v>0</v>
      </c>
      <c r="M277" s="119">
        <f>M264</f>
        <v>0</v>
      </c>
      <c r="N277" s="15">
        <f>((((('Rate Tables'!D81*9)*0.02778)/5)*K277)*L277)*F277*M277*BA275</f>
        <v>0</v>
      </c>
      <c r="O277" s="28">
        <f>O264</f>
        <v>12</v>
      </c>
      <c r="P277" s="8">
        <f>IF(O277&lt;0,O277*0,1)*O277</f>
        <v>12</v>
      </c>
      <c r="Q277" s="123">
        <f>(E277-K277*F277*L277*M277)</f>
        <v>0</v>
      </c>
      <c r="R277" s="36">
        <f>S264</f>
        <v>3</v>
      </c>
      <c r="S277" s="138">
        <f>VLOOKUP(U264,'Lookup Tables'!$AB$22:$AC$31,2,FALSE)</f>
        <v>32</v>
      </c>
      <c r="T277" s="140">
        <f>VLOOKUP(AF264,'Lookup Tables'!$AB$32:$AC$41,2,FALSE)</f>
        <v>33</v>
      </c>
      <c r="U277" s="129">
        <f>Q277-T277</f>
        <v>-33</v>
      </c>
      <c r="V277" s="12">
        <f>IF(U277&gt;0,1,0)</f>
        <v>0</v>
      </c>
      <c r="W277" s="15">
        <f>((('Rate Tables'!E81*9)*0.02778)/5)*U277*F277*V277*BA275</f>
        <v>0</v>
      </c>
      <c r="X277" s="8">
        <f>AA264</f>
        <v>2</v>
      </c>
      <c r="Y277" s="12"/>
      <c r="Z277" s="119"/>
      <c r="AA277" s="18"/>
      <c r="AB277" s="8">
        <f>IF(X277&lt;0,X277*0,1)*X277</f>
        <v>2</v>
      </c>
      <c r="AC277" s="123">
        <f>Q277-(U277*V277)</f>
        <v>0</v>
      </c>
      <c r="AD277" s="12"/>
      <c r="AE277" s="36">
        <f>AE264</f>
        <v>1</v>
      </c>
      <c r="AF277" s="138">
        <f>VLOOKUP(AF264,'Lookup Tables'!$AB$22:$AC$31,2,FALSE)</f>
        <v>32</v>
      </c>
      <c r="AG277" s="140">
        <f>VLOOKUP(AQ264,'Lookup Tables'!$AB$32:$AC$41,2,FALSE)</f>
        <v>0</v>
      </c>
      <c r="AH277" s="125">
        <f>AC277-AG277</f>
        <v>0</v>
      </c>
      <c r="AI277" s="12">
        <f>IF(AH277&gt;0,1,0)</f>
        <v>0</v>
      </c>
      <c r="AJ277" s="15">
        <f>((('Rate Tables'!F81*9)*0.02778)/5)*AH277*AI277*F277*BA275</f>
        <v>0</v>
      </c>
      <c r="AK277" s="8">
        <f>AL264</f>
        <v>0</v>
      </c>
      <c r="AL277" s="18"/>
      <c r="AM277" s="8">
        <f>IF(AK277&lt;0,AK277*0,1)*AK277</f>
        <v>0</v>
      </c>
      <c r="AN277" s="123">
        <f>AC277-(AH277*AI277)</f>
        <v>0</v>
      </c>
      <c r="AO277" s="12"/>
      <c r="AP277" s="36">
        <f>AP264</f>
        <v>3</v>
      </c>
      <c r="AQ277" s="138">
        <f>VLOOKUP(AQ264,'Lookup Tables'!$AB$22:$AC$31,2,FALSE)</f>
        <v>0</v>
      </c>
      <c r="AR277" s="140">
        <v>0</v>
      </c>
      <c r="AS277" s="125">
        <f>AN277-AR277</f>
        <v>0</v>
      </c>
      <c r="AT277" s="12">
        <f>IF(AS277&gt;0,1,0)</f>
        <v>0</v>
      </c>
      <c r="AU277" s="15">
        <f>((('Rate Tables'!G81*9)*0.02778)/5)*AS277*AT277*F277*BA275</f>
        <v>0</v>
      </c>
      <c r="AV277" s="8">
        <f>AW264</f>
        <v>0</v>
      </c>
      <c r="AW277" s="18"/>
      <c r="AX277" s="19"/>
      <c r="AY277" s="19"/>
      <c r="AZ277" s="12"/>
      <c r="BA277" s="227"/>
      <c r="BB277" s="349">
        <f>IF(BB276="yes",0.5,1)</f>
        <v>1</v>
      </c>
      <c r="BC277" s="12"/>
      <c r="BD277" s="285"/>
      <c r="BE277" s="15"/>
    </row>
    <row r="278" spans="1:57" ht="13.5" customHeight="1" x14ac:dyDescent="0.25">
      <c r="A278" s="145"/>
      <c r="B278" s="12"/>
      <c r="C278" s="114"/>
      <c r="D278" s="12"/>
      <c r="E278" s="12"/>
      <c r="F278" s="12"/>
      <c r="G278" s="12"/>
      <c r="H278" s="12"/>
      <c r="I278" s="12" t="s">
        <v>641</v>
      </c>
      <c r="J278" s="12" t="s">
        <v>642</v>
      </c>
      <c r="K278" s="12" t="s">
        <v>164</v>
      </c>
      <c r="L278" s="13" t="s">
        <v>165</v>
      </c>
      <c r="M278" s="608" t="s">
        <v>128</v>
      </c>
      <c r="N278" s="147" t="s">
        <v>129</v>
      </c>
      <c r="O278" s="135" t="s">
        <v>130</v>
      </c>
      <c r="P278" s="12"/>
      <c r="Q278" s="12"/>
      <c r="R278" s="12"/>
      <c r="S278" s="12"/>
      <c r="T278" s="12"/>
      <c r="U278" s="12"/>
      <c r="V278" s="12" t="s">
        <v>166</v>
      </c>
      <c r="W278" s="12" t="s">
        <v>163</v>
      </c>
      <c r="X278" s="13" t="s">
        <v>165</v>
      </c>
      <c r="Y278" s="650" t="s">
        <v>128</v>
      </c>
      <c r="Z278" s="13" t="s">
        <v>129</v>
      </c>
      <c r="AA278" s="135" t="s">
        <v>130</v>
      </c>
      <c r="AB278" s="12"/>
      <c r="AC278" s="12"/>
      <c r="AD278" s="12"/>
      <c r="AE278" s="12"/>
      <c r="AF278" s="12"/>
      <c r="AG278" s="12" t="s">
        <v>166</v>
      </c>
      <c r="AH278" s="12" t="s">
        <v>163</v>
      </c>
      <c r="AI278" s="13" t="s">
        <v>165</v>
      </c>
      <c r="AJ278" s="650" t="s">
        <v>128</v>
      </c>
      <c r="AK278" s="13" t="s">
        <v>129</v>
      </c>
      <c r="AL278" s="135" t="s">
        <v>130</v>
      </c>
      <c r="AN278" s="13"/>
      <c r="AO278" s="13"/>
      <c r="AP278" s="13"/>
      <c r="AQ278" s="13"/>
      <c r="AR278" s="12" t="s">
        <v>166</v>
      </c>
      <c r="AS278" s="12" t="s">
        <v>163</v>
      </c>
      <c r="AT278" s="13" t="s">
        <v>165</v>
      </c>
      <c r="AU278" s="650" t="s">
        <v>128</v>
      </c>
      <c r="AV278" s="13" t="s">
        <v>129</v>
      </c>
      <c r="AW278" s="135" t="s">
        <v>130</v>
      </c>
      <c r="AX278" s="13"/>
      <c r="AY278" s="13" t="s">
        <v>159</v>
      </c>
      <c r="AZ278" s="12"/>
      <c r="BA278" s="227"/>
      <c r="BB278" s="350"/>
      <c r="BC278" s="12"/>
      <c r="BD278" s="285"/>
      <c r="BE278" s="15"/>
    </row>
    <row r="279" spans="1:57" ht="13.5" customHeight="1" x14ac:dyDescent="0.25">
      <c r="A279" s="145"/>
      <c r="B279" s="12"/>
      <c r="C279" s="114"/>
      <c r="D279" s="12"/>
      <c r="E279" s="12"/>
      <c r="F279" s="12"/>
      <c r="G279" s="12"/>
      <c r="H279" s="12"/>
      <c r="I279" s="12">
        <f>G260</f>
        <v>12</v>
      </c>
      <c r="J279" s="125">
        <f>BA267</f>
        <v>9</v>
      </c>
      <c r="K279" s="758">
        <f>I279-J279</f>
        <v>3</v>
      </c>
      <c r="L279" s="123">
        <f>V279</f>
        <v>0</v>
      </c>
      <c r="M279" s="609">
        <f>IF(M282&lt;=0,0,ROUNDUP(M282,0))</f>
        <v>3</v>
      </c>
      <c r="N279" s="161">
        <f>'Rate Tables'!$P$17</f>
        <v>910</v>
      </c>
      <c r="O279" s="136">
        <f>(M279*N279)*F273*M273</f>
        <v>0</v>
      </c>
      <c r="P279" s="12"/>
      <c r="Q279" s="12"/>
      <c r="R279" s="12"/>
      <c r="S279" s="12"/>
      <c r="T279" s="12"/>
      <c r="U279" s="12"/>
      <c r="V279" s="12">
        <f>VLOOKUP((U273*V273),'Lookup Tables'!$E$38:$F$103,2,0)</f>
        <v>0</v>
      </c>
      <c r="W279" s="12">
        <f>K279-(M279*M273)</f>
        <v>3</v>
      </c>
      <c r="X279" s="119">
        <f>AG279</f>
        <v>0</v>
      </c>
      <c r="Y279" s="609">
        <f>IF(Y282&lt;=0,0,ROUNDUP(Y282,0))</f>
        <v>3</v>
      </c>
      <c r="Z279" s="129">
        <f>'Rate Tables'!$P$18</f>
        <v>910</v>
      </c>
      <c r="AA279" s="136">
        <f>Y279*Z279*F273*V273</f>
        <v>0</v>
      </c>
      <c r="AB279" s="12"/>
      <c r="AC279" s="12"/>
      <c r="AD279" s="12"/>
      <c r="AE279" s="12"/>
      <c r="AF279" s="12"/>
      <c r="AG279" s="12">
        <f>VLOOKUP(AH273,'Lookup Tables'!$E$38:$F$103,2,0)</f>
        <v>0</v>
      </c>
      <c r="AH279" s="125">
        <f>W279-(Y279*V273)</f>
        <v>3</v>
      </c>
      <c r="AI279" s="119">
        <f>AR279</f>
        <v>0</v>
      </c>
      <c r="AJ279" s="609">
        <f>IF(AJ282&lt;=0,0,ROUNDUP(AJ282,0))</f>
        <v>3</v>
      </c>
      <c r="AK279" s="129">
        <f>'Rate Tables'!$P$19</f>
        <v>910</v>
      </c>
      <c r="AL279" s="136">
        <f>AJ279*AK279*F273*AI273</f>
        <v>0</v>
      </c>
      <c r="AN279" s="19"/>
      <c r="AO279" s="19"/>
      <c r="AP279" s="19"/>
      <c r="AQ279" s="19"/>
      <c r="AR279" s="12">
        <f>VLOOKUP((AS273*AT273),'Lookup Tables'!$E$38:$F$103,2,0)</f>
        <v>0</v>
      </c>
      <c r="AS279" s="125">
        <f>AH279-(AJ279*AI273)</f>
        <v>3</v>
      </c>
      <c r="AT279" s="119">
        <v>0</v>
      </c>
      <c r="AU279" s="609">
        <f>IF(AU282&lt;=0,0,ROUNDUP(AU282,0))</f>
        <v>3</v>
      </c>
      <c r="AV279" s="129">
        <f>'Rate Tables'!$P$20</f>
        <v>928.2</v>
      </c>
      <c r="AW279" s="136">
        <f>AU279*AV279*F273*AT273</f>
        <v>0</v>
      </c>
      <c r="AX279" s="19"/>
      <c r="AY279" s="19">
        <f>VLOOKUP(B256,'Lookup Tables'!$AK$22:$AM$24,2,0)</f>
        <v>0</v>
      </c>
      <c r="AZ279" s="12"/>
      <c r="BA279" s="307"/>
      <c r="BB279" s="358"/>
      <c r="BC279" s="12"/>
      <c r="BD279" s="285"/>
      <c r="BE279" s="15"/>
    </row>
    <row r="280" spans="1:57" ht="13.5" customHeight="1" x14ac:dyDescent="0.25">
      <c r="A280" s="145"/>
      <c r="B280" s="12"/>
      <c r="C280" s="114"/>
      <c r="D280" s="12"/>
      <c r="E280" s="12"/>
      <c r="F280" s="12"/>
      <c r="G280" s="12"/>
      <c r="H280" s="12"/>
      <c r="I280" s="12">
        <f>G262</f>
        <v>12</v>
      </c>
      <c r="J280" s="125">
        <f>J279</f>
        <v>9</v>
      </c>
      <c r="K280" s="758">
        <f t="shared" ref="K280:K281" si="14">I280-J280</f>
        <v>3</v>
      </c>
      <c r="L280" s="123">
        <f>V280</f>
        <v>0</v>
      </c>
      <c r="M280" s="609">
        <f t="shared" ref="M280:M281" si="15">IF(M283&lt;=0,0,ROUNDUP(M283,0))</f>
        <v>3</v>
      </c>
      <c r="N280" s="161">
        <f>'Rate Tables'!$P$18</f>
        <v>910</v>
      </c>
      <c r="O280" s="136">
        <f>(M280*N280)*F275*M275</f>
        <v>0</v>
      </c>
      <c r="P280" s="12"/>
      <c r="Q280" s="12"/>
      <c r="R280" s="12"/>
      <c r="S280" s="12"/>
      <c r="T280" s="12"/>
      <c r="U280" s="12"/>
      <c r="V280" s="12">
        <f>VLOOKUP((U275*V275),'Lookup Tables'!$E$38:$F$103,2,0)</f>
        <v>0</v>
      </c>
      <c r="W280" s="12">
        <f>K280-(M280*M275)</f>
        <v>3</v>
      </c>
      <c r="X280" s="119">
        <f>AG280</f>
        <v>0</v>
      </c>
      <c r="Y280" s="609">
        <f t="shared" ref="Y280:Y281" si="16">IF(Y283&lt;=0,0,ROUNDUP(Y283,0))</f>
        <v>3</v>
      </c>
      <c r="Z280" s="129">
        <f>'Rate Tables'!$P$19</f>
        <v>910</v>
      </c>
      <c r="AA280" s="136">
        <f>Y280*Z280*F275*V275</f>
        <v>0</v>
      </c>
      <c r="AB280" s="12"/>
      <c r="AC280" s="12"/>
      <c r="AD280" s="12"/>
      <c r="AE280" s="12"/>
      <c r="AF280" s="12"/>
      <c r="AG280" s="12">
        <f>VLOOKUP(AH275,'Lookup Tables'!$E$38:$F$103,2,0)</f>
        <v>0</v>
      </c>
      <c r="AH280" s="125">
        <f>W280-(Y280*V275)</f>
        <v>3</v>
      </c>
      <c r="AI280" s="119">
        <f>AR280</f>
        <v>0</v>
      </c>
      <c r="AJ280" s="609">
        <f t="shared" ref="AJ280:AJ281" si="17">IF(AJ283&lt;=0,0,ROUNDUP(AJ283,0))</f>
        <v>3</v>
      </c>
      <c r="AK280" s="129">
        <f>'Rate Tables'!$P$20</f>
        <v>928.2</v>
      </c>
      <c r="AL280" s="136">
        <f>AJ280*AK280*F275*AI275</f>
        <v>0</v>
      </c>
      <c r="AN280" s="19"/>
      <c r="AO280" s="19"/>
      <c r="AP280" s="19"/>
      <c r="AQ280" s="19"/>
      <c r="AR280" s="12">
        <f>VLOOKUP((AS275*AT275),'Lookup Tables'!$E$38:$F$103,2,0)</f>
        <v>0</v>
      </c>
      <c r="AS280" s="125">
        <f>AH280-(AJ280*AI275)</f>
        <v>3</v>
      </c>
      <c r="AT280" s="119">
        <v>0</v>
      </c>
      <c r="AU280" s="609">
        <f t="shared" ref="AU280:AU281" si="18">IF(AU283&lt;=0,0,ROUNDUP(AU283,0))</f>
        <v>3</v>
      </c>
      <c r="AV280" s="129">
        <f>'Rate Tables'!$P$21</f>
        <v>946.76</v>
      </c>
      <c r="AW280" s="737">
        <f>AU280*AV280*F275*AT275</f>
        <v>0</v>
      </c>
      <c r="AX280" s="19"/>
      <c r="AY280" s="19"/>
      <c r="AZ280" s="12"/>
      <c r="BA280" s="307"/>
      <c r="BB280" s="349"/>
      <c r="BC280" s="12"/>
      <c r="BD280" s="285"/>
      <c r="BE280" s="15"/>
    </row>
    <row r="281" spans="1:57" ht="13.5" customHeight="1" x14ac:dyDescent="0.25">
      <c r="A281" s="145"/>
      <c r="B281" s="12"/>
      <c r="C281" s="114"/>
      <c r="D281" s="12"/>
      <c r="E281" s="12"/>
      <c r="F281" s="12"/>
      <c r="G281" s="12"/>
      <c r="H281" s="12"/>
      <c r="I281" s="12">
        <f>G264</f>
        <v>12</v>
      </c>
      <c r="J281" s="125">
        <f>J280</f>
        <v>9</v>
      </c>
      <c r="K281" s="758">
        <f t="shared" si="14"/>
        <v>3</v>
      </c>
      <c r="L281" s="123">
        <f>V281</f>
        <v>0</v>
      </c>
      <c r="M281" s="609">
        <f t="shared" si="15"/>
        <v>3</v>
      </c>
      <c r="N281" s="161">
        <f>'Rate Tables'!$P$19</f>
        <v>910</v>
      </c>
      <c r="O281" s="136">
        <f>(M281*N281)*F277*M277</f>
        <v>0</v>
      </c>
      <c r="P281" s="12"/>
      <c r="Q281" s="12"/>
      <c r="R281" s="12"/>
      <c r="S281" s="12"/>
      <c r="T281" s="12"/>
      <c r="U281" s="12"/>
      <c r="V281" s="12">
        <f>VLOOKUP((U277*V277),'Lookup Tables'!$E$38:$F$103,2,0)</f>
        <v>0</v>
      </c>
      <c r="W281" s="12">
        <f>K281-(M281*M277)</f>
        <v>3</v>
      </c>
      <c r="X281" s="119">
        <f>AG281</f>
        <v>0</v>
      </c>
      <c r="Y281" s="609">
        <f t="shared" si="16"/>
        <v>3</v>
      </c>
      <c r="Z281" s="129">
        <f>'Rate Tables'!$P$20</f>
        <v>928.2</v>
      </c>
      <c r="AA281" s="737">
        <f>Y281*Z281*F277*V277</f>
        <v>0</v>
      </c>
      <c r="AB281" s="12"/>
      <c r="AC281" s="12"/>
      <c r="AD281" s="12"/>
      <c r="AE281" s="12"/>
      <c r="AF281" s="12"/>
      <c r="AG281" s="12">
        <f>VLOOKUP(AH277,'Lookup Tables'!$E$38:$F$103,2,0)</f>
        <v>0</v>
      </c>
      <c r="AH281" s="125">
        <f>W281-(Y281*V277)</f>
        <v>3</v>
      </c>
      <c r="AI281" s="119">
        <f>AR281</f>
        <v>0</v>
      </c>
      <c r="AJ281" s="609">
        <f t="shared" si="17"/>
        <v>3</v>
      </c>
      <c r="AK281" s="129">
        <f>'Rate Tables'!$P$21</f>
        <v>946.76</v>
      </c>
      <c r="AL281" s="136">
        <f>AJ281*AK281*F277*AI277</f>
        <v>0</v>
      </c>
      <c r="AN281" s="19"/>
      <c r="AO281" s="19"/>
      <c r="AP281" s="19"/>
      <c r="AQ281" s="19"/>
      <c r="AR281" s="12">
        <f>VLOOKUP((AS277*AT277),'Lookup Tables'!$E$38:$F$103,2,0)</f>
        <v>0</v>
      </c>
      <c r="AS281" s="123">
        <f>AH281-(AJ281*AI277)</f>
        <v>3</v>
      </c>
      <c r="AT281" s="119">
        <v>0</v>
      </c>
      <c r="AU281" s="609">
        <f t="shared" si="18"/>
        <v>3</v>
      </c>
      <c r="AV281" s="129">
        <f>'Rate Tables'!$P$22</f>
        <v>965.7</v>
      </c>
      <c r="AW281" s="136">
        <f>AU281*AV281*F277*AT277</f>
        <v>0</v>
      </c>
      <c r="AX281" s="19"/>
      <c r="AY281" s="19"/>
      <c r="AZ281" s="12"/>
      <c r="BA281" s="307"/>
      <c r="BB281" s="349"/>
      <c r="BC281" s="12"/>
      <c r="BD281" s="285"/>
      <c r="BE281" s="15"/>
    </row>
    <row r="282" spans="1:57" ht="13.5" customHeight="1" x14ac:dyDescent="0.25">
      <c r="A282" s="145"/>
      <c r="B282" s="12"/>
      <c r="C282" s="114"/>
      <c r="D282" s="12"/>
      <c r="E282" s="12"/>
      <c r="F282" s="12"/>
      <c r="G282" s="12"/>
      <c r="H282" s="12"/>
      <c r="I282" s="12"/>
      <c r="J282" s="12"/>
      <c r="K282" s="12"/>
      <c r="L282" s="123"/>
      <c r="M282" s="648">
        <f>K279-L279</f>
        <v>3</v>
      </c>
      <c r="N282" s="129"/>
      <c r="O282" s="125"/>
      <c r="P282" s="12"/>
      <c r="Q282" s="12"/>
      <c r="R282" s="12"/>
      <c r="S282" s="12"/>
      <c r="T282" s="12"/>
      <c r="U282" s="12"/>
      <c r="V282" s="12"/>
      <c r="W282" s="12"/>
      <c r="X282" s="119"/>
      <c r="Y282" s="651">
        <f>W279-X279</f>
        <v>3</v>
      </c>
      <c r="Z282" s="129"/>
      <c r="AA282" s="125"/>
      <c r="AB282" s="12"/>
      <c r="AC282" s="12"/>
      <c r="AD282" s="12"/>
      <c r="AE282" s="12"/>
      <c r="AF282" s="12"/>
      <c r="AG282" s="12"/>
      <c r="AH282" s="125"/>
      <c r="AI282" s="119"/>
      <c r="AJ282" s="651">
        <f>AH279-AI279</f>
        <v>3</v>
      </c>
      <c r="AK282" s="129"/>
      <c r="AL282" s="125"/>
      <c r="AN282" s="19"/>
      <c r="AO282" s="19"/>
      <c r="AP282" s="19"/>
      <c r="AQ282" s="19"/>
      <c r="AR282" s="12"/>
      <c r="AS282" s="125"/>
      <c r="AT282" s="119"/>
      <c r="AU282" s="735">
        <f>AS279-AT279</f>
        <v>3</v>
      </c>
      <c r="AV282" s="129"/>
      <c r="AW282" s="125"/>
      <c r="AX282" s="19"/>
      <c r="AY282" s="19"/>
      <c r="AZ282" s="12"/>
      <c r="BA282" s="307"/>
      <c r="BB282" s="349"/>
      <c r="BC282" s="12"/>
      <c r="BD282" s="285"/>
      <c r="BE282" s="15"/>
    </row>
    <row r="283" spans="1:57" ht="13.5" customHeight="1" x14ac:dyDescent="0.25">
      <c r="A283" s="145"/>
      <c r="B283" s="12"/>
      <c r="C283" s="114"/>
      <c r="D283" s="12"/>
      <c r="E283" s="12"/>
      <c r="F283" s="12"/>
      <c r="G283" s="12" t="s">
        <v>584</v>
      </c>
      <c r="H283" s="12"/>
      <c r="I283" s="12"/>
      <c r="J283" s="12"/>
      <c r="K283" s="12"/>
      <c r="L283" s="123"/>
      <c r="M283" s="648">
        <f>K280-L280</f>
        <v>3</v>
      </c>
      <c r="N283" s="129"/>
      <c r="O283" s="125"/>
      <c r="P283" s="12"/>
      <c r="Q283" s="12"/>
      <c r="R283" s="12"/>
      <c r="S283" s="12"/>
      <c r="T283" s="12"/>
      <c r="U283" s="12"/>
      <c r="V283" s="12"/>
      <c r="W283" s="12"/>
      <c r="X283" s="119"/>
      <c r="Y283" s="651">
        <f>W280-X280</f>
        <v>3</v>
      </c>
      <c r="Z283" s="129"/>
      <c r="AA283" s="125"/>
      <c r="AB283" s="12"/>
      <c r="AC283" s="12"/>
      <c r="AD283" s="12"/>
      <c r="AE283" s="12"/>
      <c r="AF283" s="12"/>
      <c r="AG283" s="12"/>
      <c r="AH283" s="125"/>
      <c r="AI283" s="119"/>
      <c r="AJ283" s="651">
        <f>AH280-AI280</f>
        <v>3</v>
      </c>
      <c r="AK283" s="129"/>
      <c r="AL283" s="125"/>
      <c r="AN283" s="19"/>
      <c r="AO283" s="19"/>
      <c r="AP283" s="19"/>
      <c r="AQ283" s="19"/>
      <c r="AR283" s="12"/>
      <c r="AS283" s="125"/>
      <c r="AT283" s="119"/>
      <c r="AU283" s="651">
        <f>AS280-AT280</f>
        <v>3</v>
      </c>
      <c r="AV283" s="129"/>
      <c r="AW283" s="125"/>
      <c r="AX283" s="19"/>
      <c r="AY283" s="19"/>
      <c r="AZ283" s="12"/>
      <c r="BA283" s="307"/>
      <c r="BB283" s="349"/>
      <c r="BC283" s="12"/>
      <c r="BD283" s="285"/>
      <c r="BE283" s="15"/>
    </row>
    <row r="284" spans="1:57" ht="13.5" customHeight="1" x14ac:dyDescent="0.25">
      <c r="A284" s="145"/>
      <c r="B284" s="162"/>
      <c r="C284" s="115">
        <f>(B258*12)*2</f>
        <v>0</v>
      </c>
      <c r="D284" s="115"/>
      <c r="E284" s="126"/>
      <c r="F284" s="126"/>
      <c r="G284" s="12"/>
      <c r="H284" s="12"/>
      <c r="I284" s="12"/>
      <c r="J284" s="12"/>
      <c r="K284" s="12"/>
      <c r="L284" s="12"/>
      <c r="M284" s="649">
        <f>K281-L281</f>
        <v>3</v>
      </c>
      <c r="N284" s="12"/>
      <c r="O284" s="12"/>
      <c r="P284" s="12"/>
      <c r="Q284" s="12"/>
      <c r="R284" s="12"/>
      <c r="S284" s="12"/>
      <c r="T284" s="12"/>
      <c r="U284" s="12"/>
      <c r="V284" s="12"/>
      <c r="W284" s="12"/>
      <c r="X284" s="12"/>
      <c r="Y284" s="652">
        <f>W281-X281</f>
        <v>3</v>
      </c>
      <c r="Z284" s="12"/>
      <c r="AA284" s="12"/>
      <c r="AB284" s="12"/>
      <c r="AC284" s="12"/>
      <c r="AD284" s="12"/>
      <c r="AE284" s="12"/>
      <c r="AF284" s="12"/>
      <c r="AG284" s="12"/>
      <c r="AH284" s="12"/>
      <c r="AI284" s="12"/>
      <c r="AJ284" s="652">
        <f>AH281-AI281</f>
        <v>3</v>
      </c>
      <c r="AK284" s="12"/>
      <c r="AL284" s="12"/>
      <c r="AN284" s="12"/>
      <c r="AO284" s="12"/>
      <c r="AP284" s="12"/>
      <c r="AQ284" s="12"/>
      <c r="AR284" s="12"/>
      <c r="AS284" s="12"/>
      <c r="AT284" s="12"/>
      <c r="AU284" s="652">
        <f>AS281-AT281</f>
        <v>3</v>
      </c>
      <c r="AV284" s="12"/>
      <c r="AW284" s="12"/>
      <c r="AX284" s="12"/>
      <c r="AY284" s="12"/>
      <c r="AZ284" s="12"/>
      <c r="BA284" s="306" t="s">
        <v>413</v>
      </c>
      <c r="BB284" s="348">
        <f>Personnel!O82</f>
        <v>0</v>
      </c>
      <c r="BC284" s="276" t="s">
        <v>416</v>
      </c>
      <c r="BD284" s="285">
        <f>(M286+M288+M290+W286+W288+W290+AI286+AI288+AI290+AT286+AT288+AT290)*AY286</f>
        <v>0</v>
      </c>
      <c r="BE284" s="15"/>
    </row>
    <row r="285" spans="1:57" ht="13.5" customHeight="1" x14ac:dyDescent="0.25">
      <c r="A285" s="145"/>
      <c r="B285" s="12"/>
      <c r="C285" s="117" t="s">
        <v>30</v>
      </c>
      <c r="D285" s="117"/>
      <c r="E285" s="13"/>
      <c r="F285" s="13" t="s">
        <v>42</v>
      </c>
      <c r="G285" s="13" t="s">
        <v>41</v>
      </c>
      <c r="H285" s="65" t="s">
        <v>77</v>
      </c>
      <c r="I285" s="150" t="s">
        <v>50</v>
      </c>
      <c r="J285" s="13" t="s">
        <v>52</v>
      </c>
      <c r="K285" s="13" t="s">
        <v>35</v>
      </c>
      <c r="L285" s="13" t="s">
        <v>82</v>
      </c>
      <c r="M285" s="13" t="s">
        <v>31</v>
      </c>
      <c r="N285" s="13" t="s">
        <v>69</v>
      </c>
      <c r="O285" s="12"/>
      <c r="P285" s="13" t="s">
        <v>72</v>
      </c>
      <c r="Q285" s="65" t="s">
        <v>80</v>
      </c>
      <c r="R285" s="62" t="s">
        <v>81</v>
      </c>
      <c r="S285" s="65" t="s">
        <v>77</v>
      </c>
      <c r="T285" s="674" t="s">
        <v>107</v>
      </c>
      <c r="U285" s="13" t="s">
        <v>53</v>
      </c>
      <c r="V285" s="13" t="s">
        <v>82</v>
      </c>
      <c r="W285" s="13" t="s">
        <v>32</v>
      </c>
      <c r="X285" s="13" t="s">
        <v>69</v>
      </c>
      <c r="Y285" s="12"/>
      <c r="Z285" s="12"/>
      <c r="AA285" s="12"/>
      <c r="AB285" s="13" t="s">
        <v>72</v>
      </c>
      <c r="AC285" s="13" t="s">
        <v>80</v>
      </c>
      <c r="AD285" s="62" t="s">
        <v>81</v>
      </c>
      <c r="AE285" s="65" t="s">
        <v>77</v>
      </c>
      <c r="AF285" s="151" t="s">
        <v>107</v>
      </c>
      <c r="AG285" s="13" t="s">
        <v>78</v>
      </c>
      <c r="AH285" s="13" t="s">
        <v>82</v>
      </c>
      <c r="AI285" s="13" t="s">
        <v>33</v>
      </c>
      <c r="AJ285" s="13" t="s">
        <v>69</v>
      </c>
      <c r="AK285" s="12"/>
      <c r="AL285" s="12"/>
      <c r="AM285" s="13" t="s">
        <v>72</v>
      </c>
      <c r="AN285" s="13" t="s">
        <v>80</v>
      </c>
      <c r="AO285" s="62" t="s">
        <v>81</v>
      </c>
      <c r="AP285" s="65" t="s">
        <v>77</v>
      </c>
      <c r="AQ285" s="151" t="s">
        <v>107</v>
      </c>
      <c r="AR285" s="13" t="s">
        <v>78</v>
      </c>
      <c r="AS285" s="13" t="s">
        <v>82</v>
      </c>
      <c r="AT285" s="13" t="s">
        <v>33</v>
      </c>
      <c r="AU285" s="13" t="s">
        <v>69</v>
      </c>
      <c r="AV285" s="13"/>
      <c r="AW285" s="13"/>
      <c r="AX285" s="13"/>
      <c r="AY285" s="13" t="s">
        <v>159</v>
      </c>
      <c r="AZ285" s="12"/>
      <c r="BA285" s="227"/>
      <c r="BB285" s="12"/>
      <c r="BC285" s="12"/>
      <c r="BD285" s="285"/>
      <c r="BE285" s="15"/>
    </row>
    <row r="286" spans="1:57" ht="13.5" customHeight="1" x14ac:dyDescent="0.25">
      <c r="A286" s="145"/>
      <c r="B286" s="12"/>
      <c r="C286" s="115"/>
      <c r="D286" s="115"/>
      <c r="E286" s="152">
        <f>BB284</f>
        <v>0</v>
      </c>
      <c r="F286" s="19">
        <f>IF($D$4=2022,1,0)</f>
        <v>0</v>
      </c>
      <c r="G286" s="178">
        <f>IF($B294="Yes",$C$5,$I293)</f>
        <v>12</v>
      </c>
      <c r="H286" s="36">
        <f>VLOOKUP(H292,'Lookup Tables'!$A$22:$B$33,2,FALSE)</f>
        <v>3</v>
      </c>
      <c r="I286" s="192">
        <f>VLOOKUP($E$4,'Lookup Tables'!$AB$46:$AN$58,MATCH($H286,'Lookup Tables'!$AB$46:$AN$46),FALSE)</f>
        <v>12</v>
      </c>
      <c r="J286" s="19">
        <f>12-I286</f>
        <v>0</v>
      </c>
      <c r="K286" s="19">
        <f>IF(G286&lt;J286,G286,J286)</f>
        <v>0</v>
      </c>
      <c r="L286" s="195">
        <f>IF(12-I286&gt;=1,1,0)</f>
        <v>0</v>
      </c>
      <c r="M286" s="20">
        <f>((('Rate Tables'!$B104*$E286)*PersonCalcYr2!$K286)*L286)*$F286</f>
        <v>0</v>
      </c>
      <c r="N286" s="8">
        <f>G286-(J286*L286)</f>
        <v>12</v>
      </c>
      <c r="O286" s="12"/>
      <c r="P286" s="8">
        <f>IF(N286&lt;0,N286*0,1)*N286</f>
        <v>12</v>
      </c>
      <c r="Q286" s="120">
        <f>VLOOKUP($H292,'Lookup Tables'!$A$22:$B$33,2,FALSE)+(K286*L286)</f>
        <v>3</v>
      </c>
      <c r="R286" s="121" t="str">
        <f>VLOOKUP(Q286,'Lookup Tables'!$A$38:$B$151,2,FALSE)</f>
        <v>Sept</v>
      </c>
      <c r="S286" s="36">
        <f>VLOOKUP(R286,'Lookup Tables'!$A$22:$B$33,2,FALSE)</f>
        <v>3</v>
      </c>
      <c r="T286" s="672">
        <f>VLOOKUP($E$4,'Lookup Tables'!$AQ$46:$BC$58,MATCH(PersonCalcYr2!$S286,'Lookup Tables'!$AQ$46:$BC$46),FALSE)</f>
        <v>10</v>
      </c>
      <c r="U286" s="19">
        <f>IF(P286&lt;T286,P286,T286)</f>
        <v>10</v>
      </c>
      <c r="V286" s="119">
        <f>IF((U286)&lt;=0,0,1)</f>
        <v>1</v>
      </c>
      <c r="W286" s="20">
        <f>(('Rate Tables'!$C104*$E286)*PersonCalcYr2!$U286)*$V286*$F286</f>
        <v>0</v>
      </c>
      <c r="X286" s="8">
        <f>P286-(U286*V286)</f>
        <v>2</v>
      </c>
      <c r="Y286" s="12"/>
      <c r="Z286" s="12"/>
      <c r="AA286" s="12"/>
      <c r="AB286" s="19">
        <f>X286</f>
        <v>2</v>
      </c>
      <c r="AC286" s="123">
        <f>AC260</f>
        <v>13</v>
      </c>
      <c r="AD286" s="121" t="str">
        <f>VLOOKUP(AC286,'Lookup Tables'!$A$38:$B$151,2,FALSE)</f>
        <v>July</v>
      </c>
      <c r="AE286" s="36">
        <f>VLOOKUP(AD286,'Lookup Tables'!$A$22:$B$33,2,FALSE)</f>
        <v>1</v>
      </c>
      <c r="AF286" s="87">
        <f>VLOOKUP($AE286,'Lookup Tables'!$AC$3:$AW$16,MATCH(PersonCalcYr2!$AB286,'Lookup Tables'!$AC$3:$AW$3),FALSE)</f>
        <v>2</v>
      </c>
      <c r="AG286" s="19">
        <f>IF(AB286&lt;AF286,AB286,AF286)</f>
        <v>2</v>
      </c>
      <c r="AH286" s="119">
        <f>IF((AG286)&lt;=0,0,1)</f>
        <v>1</v>
      </c>
      <c r="AI286" s="20">
        <f>(('Rate Tables'!$D104*$E286)*PersonCalcYr2!AG286)*AH286*$F286</f>
        <v>0</v>
      </c>
      <c r="AJ286" s="8">
        <f>AB286-(AG286*AH286)</f>
        <v>0</v>
      </c>
      <c r="AK286" s="12"/>
      <c r="AL286" s="12"/>
      <c r="AM286" s="19">
        <f>AJ286</f>
        <v>0</v>
      </c>
      <c r="AN286" s="123">
        <f>AN260</f>
        <v>3</v>
      </c>
      <c r="AO286" s="121" t="str">
        <f>VLOOKUP(AN286,'Lookup Tables'!$A$38:$B$151,2,FALSE)</f>
        <v>Sept</v>
      </c>
      <c r="AP286" s="36">
        <f>VLOOKUP(AO286,'Lookup Tables'!$A$22:$B$33,2,FALSE)</f>
        <v>3</v>
      </c>
      <c r="AQ286" s="87">
        <f>VLOOKUP($AP286,'Lookup Tables'!$AC$3:$AW$16,MATCH(PersonCalcYr2!$AM286,'Lookup Tables'!$AC$3:$AW$3),FALSE)</f>
        <v>0</v>
      </c>
      <c r="AR286" s="19">
        <f>IF(AM286&lt;AQ286,AM286,AQ286)</f>
        <v>0</v>
      </c>
      <c r="AS286" s="119">
        <f>IF((AR286)&lt;=0,0,1)</f>
        <v>0</v>
      </c>
      <c r="AT286" s="20">
        <f>(('Rate Tables'!$E104*$E286)*PersonCalcYr2!AR286)*AS286*$F286</f>
        <v>0</v>
      </c>
      <c r="AU286" s="8">
        <f>AM286-(AR286*AS286)</f>
        <v>0</v>
      </c>
      <c r="AV286" s="19"/>
      <c r="AW286" s="19"/>
      <c r="AX286" s="19"/>
      <c r="AY286" s="19">
        <f>VLOOKUP(B256,'Lookup Tables'!$AK$22:$AM$24,3,0)</f>
        <v>1</v>
      </c>
      <c r="AZ286" s="12"/>
      <c r="BA286" s="227"/>
      <c r="BB286" s="12"/>
      <c r="BC286" s="276" t="s">
        <v>188</v>
      </c>
      <c r="BD286" s="285">
        <f>BD284*'Rate Tables'!P$8</f>
        <v>0</v>
      </c>
      <c r="BE286" s="15"/>
    </row>
    <row r="287" spans="1:57" ht="13.5" customHeight="1" x14ac:dyDescent="0.25">
      <c r="A287" s="145"/>
      <c r="B287" s="12"/>
      <c r="C287" s="117" t="s">
        <v>597</v>
      </c>
      <c r="D287" s="117"/>
      <c r="E287" s="13"/>
      <c r="F287" s="13" t="s">
        <v>42</v>
      </c>
      <c r="G287" s="13" t="s">
        <v>41</v>
      </c>
      <c r="H287" s="65" t="s">
        <v>77</v>
      </c>
      <c r="I287" s="150" t="s">
        <v>51</v>
      </c>
      <c r="J287" s="13" t="s">
        <v>110</v>
      </c>
      <c r="K287" s="13" t="s">
        <v>53</v>
      </c>
      <c r="L287" s="13" t="s">
        <v>82</v>
      </c>
      <c r="M287" s="13" t="s">
        <v>32</v>
      </c>
      <c r="N287" s="13" t="s">
        <v>69</v>
      </c>
      <c r="O287" s="12"/>
      <c r="P287" s="13" t="s">
        <v>72</v>
      </c>
      <c r="Q287" s="65" t="s">
        <v>80</v>
      </c>
      <c r="R287" s="62" t="s">
        <v>81</v>
      </c>
      <c r="S287" s="65" t="s">
        <v>77</v>
      </c>
      <c r="T287" s="674" t="s">
        <v>107</v>
      </c>
      <c r="U287" s="13" t="s">
        <v>78</v>
      </c>
      <c r="V287" s="13" t="s">
        <v>82</v>
      </c>
      <c r="W287" s="13" t="s">
        <v>33</v>
      </c>
      <c r="X287" s="13" t="s">
        <v>69</v>
      </c>
      <c r="Y287" s="12"/>
      <c r="Z287" s="12"/>
      <c r="AA287" s="12"/>
      <c r="AB287" s="13" t="s">
        <v>72</v>
      </c>
      <c r="AC287" s="13" t="s">
        <v>80</v>
      </c>
      <c r="AD287" s="62" t="s">
        <v>81</v>
      </c>
      <c r="AE287" s="65" t="s">
        <v>77</v>
      </c>
      <c r="AF287" s="151" t="s">
        <v>107</v>
      </c>
      <c r="AG287" s="13" t="s">
        <v>79</v>
      </c>
      <c r="AH287" s="13" t="s">
        <v>82</v>
      </c>
      <c r="AI287" s="13" t="s">
        <v>34</v>
      </c>
      <c r="AJ287" s="13" t="s">
        <v>69</v>
      </c>
      <c r="AK287" s="12"/>
      <c r="AL287" s="12"/>
      <c r="AM287" s="13" t="s">
        <v>72</v>
      </c>
      <c r="AN287" s="13" t="s">
        <v>80</v>
      </c>
      <c r="AO287" s="62" t="s">
        <v>81</v>
      </c>
      <c r="AP287" s="65" t="s">
        <v>77</v>
      </c>
      <c r="AQ287" s="151" t="s">
        <v>107</v>
      </c>
      <c r="AR287" s="13" t="s">
        <v>79</v>
      </c>
      <c r="AS287" s="13" t="s">
        <v>82</v>
      </c>
      <c r="AT287" s="13" t="s">
        <v>34</v>
      </c>
      <c r="AU287" s="13" t="s">
        <v>69</v>
      </c>
      <c r="AV287" s="13"/>
      <c r="AW287" s="13"/>
      <c r="AX287" s="13"/>
      <c r="AY287" s="13"/>
      <c r="AZ287" s="12"/>
      <c r="BA287" s="311"/>
      <c r="BB287" s="12"/>
      <c r="BC287" s="12"/>
      <c r="BD287" s="285"/>
      <c r="BE287" s="15"/>
    </row>
    <row r="288" spans="1:57" ht="13.5" customHeight="1" x14ac:dyDescent="0.25">
      <c r="A288" s="145"/>
      <c r="B288" s="12"/>
      <c r="C288" s="115"/>
      <c r="D288" s="115"/>
      <c r="E288" s="152">
        <f>BB284</f>
        <v>0</v>
      </c>
      <c r="F288" s="19">
        <f>IF($D$4=2023,1,0)</f>
        <v>1</v>
      </c>
      <c r="G288" s="178">
        <f>IF($B294="Yes",$C$5,$I293)</f>
        <v>12</v>
      </c>
      <c r="H288" s="36">
        <f>VLOOKUP(H292,'Lookup Tables'!$A$22:$B$33,2,FALSE)</f>
        <v>3</v>
      </c>
      <c r="I288" s="192">
        <f>VLOOKUP($E$4,'Lookup Tables'!$AB$46:$AN$58,MATCH($H288,'Lookup Tables'!$AB$46:$AN$46),FALSE)</f>
        <v>12</v>
      </c>
      <c r="J288" s="19">
        <f>12-I288</f>
        <v>0</v>
      </c>
      <c r="K288" s="19">
        <f>IF(G288&lt;J288,G288,J288)</f>
        <v>0</v>
      </c>
      <c r="L288" s="195">
        <f>IF(12-I288&gt;=1,1,0)</f>
        <v>0</v>
      </c>
      <c r="M288" s="20">
        <f>((('Rate Tables'!$C104*$E288)*PersonCalcYr2!$K288)*L288)*$F288</f>
        <v>0</v>
      </c>
      <c r="N288" s="8">
        <f>G288-(J288*L288)</f>
        <v>12</v>
      </c>
      <c r="O288" s="12"/>
      <c r="P288" s="8">
        <f>IF(N288&lt;0,N288*0,1)*N288</f>
        <v>12</v>
      </c>
      <c r="Q288" s="120">
        <f>VLOOKUP($H292,'Lookup Tables'!$A$22:$B$33,2,FALSE)+(K288*L288)</f>
        <v>3</v>
      </c>
      <c r="R288" s="121" t="str">
        <f>VLOOKUP(Q288,'Lookup Tables'!$A$38:$B$151,2,FALSE)</f>
        <v>Sept</v>
      </c>
      <c r="S288" s="36">
        <f>VLOOKUP(R288,'Lookup Tables'!$A$22:$B$33,2,FALSE)</f>
        <v>3</v>
      </c>
      <c r="T288" s="672">
        <f>VLOOKUP($E$4,'Lookup Tables'!$AQ$46:$BC$58,MATCH(PersonCalcYr2!$S288,'Lookup Tables'!$AQ$46:$BC$46),FALSE)</f>
        <v>10</v>
      </c>
      <c r="U288" s="19">
        <f>IF(P288&lt;T288,P288,T288)</f>
        <v>10</v>
      </c>
      <c r="V288" s="119">
        <f>IF((U288)&lt;=0,0,1)</f>
        <v>1</v>
      </c>
      <c r="W288" s="20">
        <f>(('Rate Tables'!$D104*$E288)*PersonCalcYr2!$U288)*$V288*$F288</f>
        <v>0</v>
      </c>
      <c r="X288" s="8">
        <f>P288-(U288*V288)</f>
        <v>2</v>
      </c>
      <c r="Y288" s="12"/>
      <c r="Z288" s="12"/>
      <c r="AA288" s="12"/>
      <c r="AB288" s="19">
        <f>X288</f>
        <v>2</v>
      </c>
      <c r="AC288" s="123">
        <f>AC262</f>
        <v>13</v>
      </c>
      <c r="AD288" s="121" t="str">
        <f>VLOOKUP(AC288,'Lookup Tables'!$A$38:$B$151,2,FALSE)</f>
        <v>July</v>
      </c>
      <c r="AE288" s="36">
        <f>VLOOKUP(AD288,'Lookup Tables'!$A$22:$B$33,2,FALSE)</f>
        <v>1</v>
      </c>
      <c r="AF288" s="87">
        <f>VLOOKUP($AE288,'Lookup Tables'!$AC$3:$AW$16,MATCH(PersonCalcYr2!$AB288,'Lookup Tables'!$AC$3:$AW$3),FALSE)</f>
        <v>2</v>
      </c>
      <c r="AG288" s="19">
        <f>IF(AB288&lt;AF288,AB288,AF288)</f>
        <v>2</v>
      </c>
      <c r="AH288" s="119">
        <f>IF((AG288)&lt;=0,0,1)</f>
        <v>1</v>
      </c>
      <c r="AI288" s="20">
        <f>(('Rate Tables'!$E104*$E288)*PersonCalcYr2!AG288)*AH288*$F288</f>
        <v>0</v>
      </c>
      <c r="AJ288" s="8">
        <f>AB288-(AG288*AH288)</f>
        <v>0</v>
      </c>
      <c r="AK288" s="12"/>
      <c r="AL288" s="12"/>
      <c r="AM288" s="19">
        <f>AJ288</f>
        <v>0</v>
      </c>
      <c r="AN288" s="123">
        <f>AN262</f>
        <v>3</v>
      </c>
      <c r="AO288" s="121" t="str">
        <f>VLOOKUP(AN288,'Lookup Tables'!$A$38:$B$151,2,FALSE)</f>
        <v>Sept</v>
      </c>
      <c r="AP288" s="36">
        <f>VLOOKUP(AO288,'Lookup Tables'!$A$22:$B$33,2,FALSE)</f>
        <v>3</v>
      </c>
      <c r="AQ288" s="87">
        <f>VLOOKUP($AP288,'Lookup Tables'!$AC$3:$AW$16,MATCH(PersonCalcYr2!$AM288,'Lookup Tables'!$AC$3:$AW$3),FALSE)</f>
        <v>0</v>
      </c>
      <c r="AR288" s="19">
        <f>IF(AM288&lt;AQ288,AM288,AQ288)</f>
        <v>0</v>
      </c>
      <c r="AS288" s="119">
        <f>IF((AR288)&lt;=0,0,1)</f>
        <v>0</v>
      </c>
      <c r="AT288" s="20">
        <f>(('Rate Tables'!$F104*$E288)*PersonCalcYr2!AR288)*AS288*$F288</f>
        <v>0</v>
      </c>
      <c r="AU288" s="8">
        <f>AM288-(AR288*AS288)</f>
        <v>0</v>
      </c>
      <c r="AV288" s="20"/>
      <c r="AW288" s="20"/>
      <c r="AX288" s="20"/>
      <c r="AY288" s="20"/>
      <c r="AZ288" s="12"/>
      <c r="BA288" s="311"/>
      <c r="BB288" s="349" t="s">
        <v>643</v>
      </c>
      <c r="BC288" s="276" t="s">
        <v>136</v>
      </c>
      <c r="BD288" s="285">
        <f>(((O292+O293+O294+AA292+AA293+AA294+AL292+AL293+AL294+AW292+AW293+AW294)*AY292)*BD289)*BB291</f>
        <v>0</v>
      </c>
      <c r="BE288" s="12" t="s">
        <v>418</v>
      </c>
    </row>
    <row r="289" spans="1:57" ht="13.5" customHeight="1" x14ac:dyDescent="0.25">
      <c r="A289" s="145"/>
      <c r="B289" s="12"/>
      <c r="C289" s="117" t="s">
        <v>664</v>
      </c>
      <c r="D289" s="117"/>
      <c r="E289" s="13"/>
      <c r="F289" s="13" t="s">
        <v>42</v>
      </c>
      <c r="G289" s="13" t="s">
        <v>41</v>
      </c>
      <c r="H289" s="65" t="s">
        <v>77</v>
      </c>
      <c r="I289" s="150" t="s">
        <v>51</v>
      </c>
      <c r="J289" s="13" t="s">
        <v>110</v>
      </c>
      <c r="K289" s="13" t="s">
        <v>53</v>
      </c>
      <c r="L289" s="13" t="s">
        <v>82</v>
      </c>
      <c r="M289" s="13" t="s">
        <v>32</v>
      </c>
      <c r="N289" s="13" t="s">
        <v>69</v>
      </c>
      <c r="O289" s="12"/>
      <c r="P289" s="13" t="s">
        <v>72</v>
      </c>
      <c r="Q289" s="65" t="s">
        <v>80</v>
      </c>
      <c r="R289" s="62" t="s">
        <v>81</v>
      </c>
      <c r="S289" s="65" t="s">
        <v>77</v>
      </c>
      <c r="T289" s="674" t="s">
        <v>107</v>
      </c>
      <c r="U289" s="13" t="s">
        <v>78</v>
      </c>
      <c r="V289" s="13" t="s">
        <v>82</v>
      </c>
      <c r="W289" s="13" t="s">
        <v>33</v>
      </c>
      <c r="X289" s="13" t="s">
        <v>69</v>
      </c>
      <c r="Y289" s="12"/>
      <c r="Z289" s="12"/>
      <c r="AA289" s="12"/>
      <c r="AB289" s="13" t="s">
        <v>72</v>
      </c>
      <c r="AC289" s="13" t="s">
        <v>80</v>
      </c>
      <c r="AD289" s="62" t="s">
        <v>81</v>
      </c>
      <c r="AE289" s="65" t="s">
        <v>77</v>
      </c>
      <c r="AF289" s="151" t="s">
        <v>107</v>
      </c>
      <c r="AG289" s="13" t="s">
        <v>79</v>
      </c>
      <c r="AH289" s="13" t="s">
        <v>82</v>
      </c>
      <c r="AI289" s="13" t="s">
        <v>34</v>
      </c>
      <c r="AJ289" s="13" t="s">
        <v>69</v>
      </c>
      <c r="AK289" s="12"/>
      <c r="AL289" s="12"/>
      <c r="AM289" s="13" t="s">
        <v>72</v>
      </c>
      <c r="AN289" s="13" t="s">
        <v>80</v>
      </c>
      <c r="AO289" s="62" t="s">
        <v>81</v>
      </c>
      <c r="AP289" s="65" t="s">
        <v>77</v>
      </c>
      <c r="AQ289" s="151" t="s">
        <v>107</v>
      </c>
      <c r="AR289" s="13" t="s">
        <v>79</v>
      </c>
      <c r="AS289" s="13" t="s">
        <v>82</v>
      </c>
      <c r="AT289" s="13" t="s">
        <v>34</v>
      </c>
      <c r="AU289" s="13" t="s">
        <v>69</v>
      </c>
      <c r="AV289" s="20"/>
      <c r="AW289" s="20"/>
      <c r="AX289" s="20"/>
      <c r="AY289" s="20"/>
      <c r="AZ289" s="12"/>
      <c r="BA289" s="311"/>
      <c r="BB289" s="350" t="s">
        <v>644</v>
      </c>
      <c r="BC289" s="227" t="s">
        <v>582</v>
      </c>
      <c r="BD289" s="663">
        <f>IF(BD284&gt;0,1,0)</f>
        <v>0</v>
      </c>
      <c r="BE289" s="12"/>
    </row>
    <row r="290" spans="1:57" ht="13.5" customHeight="1" x14ac:dyDescent="0.25">
      <c r="A290" s="145"/>
      <c r="B290" s="12"/>
      <c r="C290" s="115"/>
      <c r="D290" s="115"/>
      <c r="E290" s="152">
        <f>BB284</f>
        <v>0</v>
      </c>
      <c r="F290" s="19">
        <f>IF($D$4=2024,1,0)</f>
        <v>0</v>
      </c>
      <c r="G290" s="178">
        <f>IF($B294="Yes",$C$5,$I293)</f>
        <v>12</v>
      </c>
      <c r="H290" s="36">
        <f>VLOOKUP(H292,'Lookup Tables'!$A$22:$B$33,2,FALSE)</f>
        <v>3</v>
      </c>
      <c r="I290" s="192">
        <f>VLOOKUP($E$4,'Lookup Tables'!$AB$46:$AN$58,MATCH($H290,'Lookup Tables'!$AB$46:$AN$46),FALSE)</f>
        <v>12</v>
      </c>
      <c r="J290" s="19">
        <f>12-I290</f>
        <v>0</v>
      </c>
      <c r="K290" s="19">
        <f>IF(G290&lt;J290,G290,J290)</f>
        <v>0</v>
      </c>
      <c r="L290" s="195">
        <f>IF(12-I290&gt;=1,1,0)</f>
        <v>0</v>
      </c>
      <c r="M290" s="20">
        <f>((('Rate Tables'!$D104*$E290)*PersonCalcYr2!$K290)*L290)*$F290</f>
        <v>0</v>
      </c>
      <c r="N290" s="8">
        <f>G290-(J290*L290)</f>
        <v>12</v>
      </c>
      <c r="O290" s="12"/>
      <c r="P290" s="8">
        <f>IF(N290&lt;0,N290*0,1)*N290</f>
        <v>12</v>
      </c>
      <c r="Q290" s="120">
        <f>VLOOKUP($H292,'Lookup Tables'!$A$22:$B$33,2,FALSE)+(K290*L290)</f>
        <v>3</v>
      </c>
      <c r="R290" s="121" t="str">
        <f>VLOOKUP(Q290,'Lookup Tables'!$A$38:$B$151,2,FALSE)</f>
        <v>Sept</v>
      </c>
      <c r="S290" s="36">
        <f>VLOOKUP(R290,'Lookup Tables'!$A$22:$B$33,2,FALSE)</f>
        <v>3</v>
      </c>
      <c r="T290" s="672">
        <f>VLOOKUP($E$4,'Lookup Tables'!$AQ$46:$BC$58,MATCH(PersonCalcYr2!$S290,'Lookup Tables'!$AQ$46:$BC$46),FALSE)</f>
        <v>10</v>
      </c>
      <c r="U290" s="19">
        <f>IF(P290&lt;T290,P290,T290)</f>
        <v>10</v>
      </c>
      <c r="V290" s="119">
        <f>IF((U290)&lt;=0,0,1)</f>
        <v>1</v>
      </c>
      <c r="W290" s="20">
        <f>(('Rate Tables'!$E104*$E290)*PersonCalcYr2!$U290)*$V290*$F290</f>
        <v>0</v>
      </c>
      <c r="X290" s="8">
        <f>P290-(U290*V290)</f>
        <v>2</v>
      </c>
      <c r="Y290" s="12"/>
      <c r="Z290" s="12"/>
      <c r="AA290" s="12"/>
      <c r="AB290" s="19">
        <f>X290</f>
        <v>2</v>
      </c>
      <c r="AC290" s="123">
        <f>AC264</f>
        <v>13</v>
      </c>
      <c r="AD290" s="121" t="str">
        <f>VLOOKUP(AC290,'Lookup Tables'!$A$38:$B$151,2,FALSE)</f>
        <v>July</v>
      </c>
      <c r="AE290" s="36">
        <f>VLOOKUP(AD290,'Lookup Tables'!$A$22:$B$33,2,FALSE)</f>
        <v>1</v>
      </c>
      <c r="AF290" s="87">
        <f>VLOOKUP($AE290,'Lookup Tables'!$AC$3:$AW$16,MATCH(PersonCalcYr2!$AB290,'Lookup Tables'!$AC$3:$AW$3),FALSE)</f>
        <v>2</v>
      </c>
      <c r="AG290" s="19">
        <f>IF(AB290&lt;AF290,AB290,AF290)</f>
        <v>2</v>
      </c>
      <c r="AH290" s="119">
        <f>IF((AG290)&lt;=0,0,1)</f>
        <v>1</v>
      </c>
      <c r="AI290" s="20">
        <f>(('Rate Tables'!$F104*$E290)*PersonCalcYr2!AG290)*AH290*$F290</f>
        <v>0</v>
      </c>
      <c r="AJ290" s="8">
        <f>AB290-(AG290*AH290)</f>
        <v>0</v>
      </c>
      <c r="AK290" s="12"/>
      <c r="AL290" s="12"/>
      <c r="AM290" s="19">
        <f>AJ290</f>
        <v>0</v>
      </c>
      <c r="AN290" s="123">
        <f>AN264</f>
        <v>3</v>
      </c>
      <c r="AO290" s="121" t="str">
        <f>VLOOKUP(AN290,'Lookup Tables'!$A$38:$B$151,2,FALSE)</f>
        <v>Sept</v>
      </c>
      <c r="AP290" s="36">
        <f>VLOOKUP(AO290,'Lookup Tables'!$A$22:$B$33,2,FALSE)</f>
        <v>3</v>
      </c>
      <c r="AQ290" s="87">
        <f>VLOOKUP($AP290,'Lookup Tables'!$AC$3:$AW$16,MATCH(PersonCalcYr2!$AM290,'Lookup Tables'!$AC$3:$AW$3),FALSE)</f>
        <v>0</v>
      </c>
      <c r="AR290" s="19">
        <f>IF(AM290&lt;AQ290,AM290,AQ290)</f>
        <v>0</v>
      </c>
      <c r="AS290" s="119">
        <f>IF((AR290)&lt;=0,0,1)</f>
        <v>0</v>
      </c>
      <c r="AT290" s="20">
        <f>(('Rate Tables'!$G104*$E290)*PersonCalcYr2!AR290)*AS290*$F290</f>
        <v>0</v>
      </c>
      <c r="AU290" s="8">
        <f>AM290-(AR290*AS290)</f>
        <v>0</v>
      </c>
      <c r="AV290" s="20"/>
      <c r="AW290" s="20"/>
      <c r="AX290" s="20"/>
      <c r="AY290" s="20"/>
      <c r="AZ290" s="12"/>
      <c r="BA290" s="311"/>
      <c r="BB290" s="358" t="str">
        <f>IF(BB284=50%,"no",Personnel!O86)</f>
        <v>No</v>
      </c>
      <c r="BC290" s="276"/>
      <c r="BD290" s="285"/>
      <c r="BE290" s="12"/>
    </row>
    <row r="291" spans="1:57" ht="13.5" customHeight="1" x14ac:dyDescent="0.25">
      <c r="A291" s="145"/>
      <c r="B291" s="12" t="s">
        <v>127</v>
      </c>
      <c r="C291" s="12"/>
      <c r="D291" s="12"/>
      <c r="E291" s="12"/>
      <c r="F291" s="12"/>
      <c r="G291" s="12"/>
      <c r="H291" s="12"/>
      <c r="I291" s="12"/>
      <c r="J291" s="12"/>
      <c r="K291" s="12"/>
      <c r="L291" s="13"/>
      <c r="M291" s="13" t="s">
        <v>129</v>
      </c>
      <c r="N291" s="13" t="s">
        <v>128</v>
      </c>
      <c r="O291" s="153" t="s">
        <v>130</v>
      </c>
      <c r="P291" s="12"/>
      <c r="Q291" s="12"/>
      <c r="R291" s="12"/>
      <c r="S291" s="12"/>
      <c r="T291" s="12"/>
      <c r="U291" s="12"/>
      <c r="V291" s="12"/>
      <c r="W291" s="12"/>
      <c r="X291" s="12"/>
      <c r="Y291" s="13" t="s">
        <v>129</v>
      </c>
      <c r="Z291" s="13" t="s">
        <v>128</v>
      </c>
      <c r="AA291" s="153" t="s">
        <v>130</v>
      </c>
      <c r="AB291" s="12"/>
      <c r="AC291" s="12"/>
      <c r="AD291" s="12"/>
      <c r="AE291" s="12"/>
      <c r="AF291" s="12"/>
      <c r="AG291" s="12"/>
      <c r="AH291" s="12"/>
      <c r="AI291" s="12"/>
      <c r="AJ291" s="13" t="s">
        <v>129</v>
      </c>
      <c r="AK291" s="13" t="s">
        <v>128</v>
      </c>
      <c r="AL291" s="153" t="s">
        <v>130</v>
      </c>
      <c r="AN291" s="12"/>
      <c r="AO291" s="12"/>
      <c r="AP291" s="12"/>
      <c r="AQ291" s="12"/>
      <c r="AR291" s="12"/>
      <c r="AS291" s="12"/>
      <c r="AT291" s="12"/>
      <c r="AU291" s="13" t="s">
        <v>129</v>
      </c>
      <c r="AV291" s="13" t="s">
        <v>128</v>
      </c>
      <c r="AW291" s="153" t="s">
        <v>130</v>
      </c>
      <c r="AX291" s="13"/>
      <c r="AY291" s="13" t="s">
        <v>159</v>
      </c>
      <c r="AZ291" s="12"/>
      <c r="BA291" s="227"/>
      <c r="BB291" s="349">
        <f>IF(BB290="yes",0.5,1)</f>
        <v>1</v>
      </c>
      <c r="BC291" s="12"/>
      <c r="BD291" s="285"/>
      <c r="BE291" s="372">
        <f>VLOOKUP('F&amp;ARatesCalc'!$B$1,'F&amp;ARatesCalc'!$A$3:$B$5,2,FALSE)</f>
        <v>0.56999999999999995</v>
      </c>
    </row>
    <row r="292" spans="1:57" ht="13.5" customHeight="1" x14ac:dyDescent="0.25">
      <c r="A292" s="145"/>
      <c r="B292" s="12"/>
      <c r="C292" s="12"/>
      <c r="D292" s="12"/>
      <c r="E292" s="12"/>
      <c r="F292" s="12"/>
      <c r="G292" s="178" t="s">
        <v>430</v>
      </c>
      <c r="H292" s="178" t="str">
        <f>IF(B294="yes",$C$4,A296)</f>
        <v>Sept</v>
      </c>
      <c r="I292" s="12"/>
      <c r="J292" s="12"/>
      <c r="K292" s="12"/>
      <c r="L292" s="12"/>
      <c r="M292" s="129">
        <f>'Rate Tables'!$P$17</f>
        <v>910</v>
      </c>
      <c r="N292" s="146">
        <f>(K286*L286)*F286</f>
        <v>0</v>
      </c>
      <c r="O292" s="154">
        <f>M292*N292</f>
        <v>0</v>
      </c>
      <c r="P292" s="12"/>
      <c r="Q292" s="12"/>
      <c r="R292" s="12"/>
      <c r="S292" s="12"/>
      <c r="T292" s="12"/>
      <c r="U292" s="12"/>
      <c r="V292" s="12"/>
      <c r="W292" s="12"/>
      <c r="X292" s="12"/>
      <c r="Y292" s="129">
        <f>'Rate Tables'!$P$18</f>
        <v>910</v>
      </c>
      <c r="Z292" s="146">
        <f>U286*V286*F286</f>
        <v>0</v>
      </c>
      <c r="AA292" s="125">
        <f>Y292*Z292</f>
        <v>0</v>
      </c>
      <c r="AB292" s="12"/>
      <c r="AC292" s="12"/>
      <c r="AD292" s="12"/>
      <c r="AE292" s="12"/>
      <c r="AF292" s="12"/>
      <c r="AG292" s="12"/>
      <c r="AH292" s="12"/>
      <c r="AI292" s="12"/>
      <c r="AJ292" s="129">
        <f>'Rate Tables'!$P$19</f>
        <v>910</v>
      </c>
      <c r="AK292" s="146">
        <f>AG286*AH286*F286</f>
        <v>0</v>
      </c>
      <c r="AL292" s="125">
        <f>AJ292*AK292</f>
        <v>0</v>
      </c>
      <c r="AN292" s="12"/>
      <c r="AO292" s="12"/>
      <c r="AP292" s="12"/>
      <c r="AQ292" s="12"/>
      <c r="AR292" s="12"/>
      <c r="AS292" s="12"/>
      <c r="AT292" s="12"/>
      <c r="AU292" s="129">
        <f>'Rate Tables'!$P$20</f>
        <v>928.2</v>
      </c>
      <c r="AV292" s="146">
        <f>AR286*AS286*F286</f>
        <v>0</v>
      </c>
      <c r="AW292" s="125">
        <f>AU292*AV292</f>
        <v>0</v>
      </c>
      <c r="AX292" s="19"/>
      <c r="AY292" s="19">
        <f>VLOOKUP(B256,'Lookup Tables'!$AK$22:$AM$24,3,0)</f>
        <v>1</v>
      </c>
      <c r="AZ292" s="12"/>
      <c r="BA292" s="307"/>
      <c r="BB292" s="125"/>
      <c r="BC292" s="12"/>
      <c r="BD292" s="285"/>
      <c r="BE292" s="12" t="s">
        <v>417</v>
      </c>
    </row>
    <row r="293" spans="1:57" ht="13.5" customHeight="1" x14ac:dyDescent="0.25">
      <c r="A293" s="145"/>
      <c r="B293" s="12"/>
      <c r="C293" s="12"/>
      <c r="D293" s="12"/>
      <c r="E293" s="12"/>
      <c r="F293" s="12"/>
      <c r="G293" s="491" t="s">
        <v>555</v>
      </c>
      <c r="H293" s="11">
        <f>IF(H296&lt;$C$5,H296,$C$5)</f>
        <v>12</v>
      </c>
      <c r="I293" s="178">
        <f>IF(B296&lt;=H296,B296,H296)</f>
        <v>0</v>
      </c>
      <c r="J293" s="12"/>
      <c r="K293" s="12"/>
      <c r="L293" s="12"/>
      <c r="M293" s="129">
        <f>'Rate Tables'!$P$18</f>
        <v>910</v>
      </c>
      <c r="N293" s="146">
        <f>K288*L288*F288</f>
        <v>0</v>
      </c>
      <c r="O293" s="154">
        <f>M293*N293</f>
        <v>0</v>
      </c>
      <c r="P293" s="12"/>
      <c r="Q293" s="12"/>
      <c r="R293" s="12"/>
      <c r="S293" s="12"/>
      <c r="T293" s="12"/>
      <c r="U293" s="12"/>
      <c r="V293" s="12"/>
      <c r="W293" s="12"/>
      <c r="X293" s="12"/>
      <c r="Y293" s="129">
        <f>'Rate Tables'!$P$19</f>
        <v>910</v>
      </c>
      <c r="Z293" s="146">
        <f>U288*V288*F288</f>
        <v>10</v>
      </c>
      <c r="AA293" s="125">
        <f>Y293*Z293</f>
        <v>9100</v>
      </c>
      <c r="AB293" s="12"/>
      <c r="AC293" s="12"/>
      <c r="AD293" s="12"/>
      <c r="AE293" s="12"/>
      <c r="AF293" s="12"/>
      <c r="AG293" s="12"/>
      <c r="AH293" s="12"/>
      <c r="AI293" s="12"/>
      <c r="AJ293" s="129">
        <f>'Rate Tables'!$P$20</f>
        <v>928.2</v>
      </c>
      <c r="AK293" s="146">
        <f>AG288*AH288*F288</f>
        <v>2</v>
      </c>
      <c r="AL293" s="125">
        <f>AJ293*AK293</f>
        <v>1856.4</v>
      </c>
      <c r="AN293" s="12"/>
      <c r="AO293" s="12"/>
      <c r="AP293" s="12"/>
      <c r="AQ293" s="12"/>
      <c r="AR293" s="12"/>
      <c r="AS293" s="12"/>
      <c r="AT293" s="12"/>
      <c r="AU293" s="129">
        <f>'Rate Tables'!$P$21</f>
        <v>946.76</v>
      </c>
      <c r="AV293" s="146">
        <f>AR288*AS288*F288</f>
        <v>0</v>
      </c>
      <c r="AW293" s="125">
        <f>AU293*AV293</f>
        <v>0</v>
      </c>
      <c r="AX293" s="12"/>
      <c r="AY293" s="12" t="s">
        <v>244</v>
      </c>
      <c r="AZ293" s="12"/>
      <c r="BA293" s="307"/>
      <c r="BB293" s="12"/>
      <c r="BC293" s="12"/>
      <c r="BD293" s="285"/>
      <c r="BE293" s="12">
        <f>(BD294+BD295)*BE291</f>
        <v>0</v>
      </c>
    </row>
    <row r="294" spans="1:57" ht="13.5" customHeight="1" x14ac:dyDescent="0.25">
      <c r="A294" s="377" t="s">
        <v>431</v>
      </c>
      <c r="B294" s="375" t="str">
        <f>Personnel!M82</f>
        <v>YES</v>
      </c>
      <c r="C294" s="12"/>
      <c r="D294" s="12"/>
      <c r="E294" s="12"/>
      <c r="F294" s="12"/>
      <c r="G294" s="491" t="s">
        <v>559</v>
      </c>
      <c r="H294" s="12">
        <f>BA273</f>
        <v>0</v>
      </c>
      <c r="I294" s="12"/>
      <c r="J294" s="12"/>
      <c r="K294" s="12"/>
      <c r="L294" s="12"/>
      <c r="M294" s="129">
        <f>'Rate Tables'!$P$19</f>
        <v>910</v>
      </c>
      <c r="N294" s="146">
        <f>K290*L290*F290</f>
        <v>0</v>
      </c>
      <c r="O294" s="154">
        <f>M294*N294</f>
        <v>0</v>
      </c>
      <c r="P294" s="12"/>
      <c r="Q294" s="12"/>
      <c r="R294" s="12"/>
      <c r="S294" s="12"/>
      <c r="T294" s="12"/>
      <c r="U294" s="12"/>
      <c r="V294" s="12"/>
      <c r="W294" s="12"/>
      <c r="X294" s="12"/>
      <c r="Y294" s="129">
        <f>'Rate Tables'!$P$20</f>
        <v>928.2</v>
      </c>
      <c r="Z294" s="146">
        <f>U290*V290*F290</f>
        <v>0</v>
      </c>
      <c r="AA294" s="125">
        <f>Y294*Z294</f>
        <v>0</v>
      </c>
      <c r="AB294" s="12"/>
      <c r="AC294" s="12"/>
      <c r="AD294" s="12"/>
      <c r="AE294" s="12"/>
      <c r="AF294" s="12"/>
      <c r="AG294" s="12"/>
      <c r="AH294" s="12"/>
      <c r="AI294" s="12"/>
      <c r="AJ294" s="129">
        <f>'Rate Tables'!$P$21</f>
        <v>946.76</v>
      </c>
      <c r="AK294" s="146">
        <f>AG290*AH290*F290</f>
        <v>0</v>
      </c>
      <c r="AL294" s="125">
        <f>AJ294*AK294</f>
        <v>0</v>
      </c>
      <c r="AN294" s="12"/>
      <c r="AO294" s="12"/>
      <c r="AP294" s="12"/>
      <c r="AQ294" s="12"/>
      <c r="AR294" s="12"/>
      <c r="AS294" s="12"/>
      <c r="AT294" s="12"/>
      <c r="AU294" s="129">
        <f>'Rate Tables'!$P$22</f>
        <v>965.7</v>
      </c>
      <c r="AV294" s="146">
        <f>AR290*AS290*F290</f>
        <v>0</v>
      </c>
      <c r="AW294" s="125">
        <f>AU294*AV294</f>
        <v>0</v>
      </c>
      <c r="AX294" s="12"/>
      <c r="AY294" s="12">
        <f>IF(BD294&gt;=1,1,0)</f>
        <v>0</v>
      </c>
      <c r="AZ294" s="12"/>
      <c r="BA294" s="227"/>
      <c r="BB294" s="226"/>
      <c r="BC294" s="278" t="s">
        <v>96</v>
      </c>
      <c r="BD294" s="285">
        <f>BD258+BD271+BD284</f>
        <v>0</v>
      </c>
      <c r="BE294" s="15"/>
    </row>
    <row r="295" spans="1:57" ht="13.5" customHeight="1" thickBot="1" x14ac:dyDescent="0.3">
      <c r="A295" s="296" t="s">
        <v>439</v>
      </c>
      <c r="B295" s="114" t="s">
        <v>427</v>
      </c>
      <c r="C295" s="12"/>
      <c r="D295" s="12"/>
      <c r="E295" s="12"/>
      <c r="F295" s="12"/>
      <c r="G295" s="491" t="s">
        <v>560</v>
      </c>
      <c r="H295" s="178">
        <f>VLOOKUP(H286,'Lookup Tables'!$L$62:$Y$74,MATCH(G286,'Lookup Tables'!$L$62:$Y$62,FALSE))</f>
        <v>65</v>
      </c>
      <c r="I295" s="12"/>
      <c r="J295" s="12"/>
      <c r="K295" s="12"/>
      <c r="L295" s="12"/>
      <c r="M295" s="12"/>
      <c r="N295" s="12"/>
      <c r="O295" s="155"/>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227"/>
      <c r="BB295" s="224"/>
      <c r="BC295" s="278" t="s">
        <v>415</v>
      </c>
      <c r="BD295" s="285">
        <f>BD260+BD272+BD286</f>
        <v>0</v>
      </c>
      <c r="BE295" s="15"/>
    </row>
    <row r="296" spans="1:57" ht="13.5" customHeight="1" thickBot="1" x14ac:dyDescent="0.3">
      <c r="A296" s="380">
        <f>Personnel!M83</f>
        <v>0</v>
      </c>
      <c r="B296" s="273">
        <f>Personnel!M84</f>
        <v>0</v>
      </c>
      <c r="C296" s="12"/>
      <c r="D296" s="12"/>
      <c r="E296" s="12"/>
      <c r="F296" s="12"/>
      <c r="G296" s="12"/>
      <c r="H296" s="175">
        <f>VLOOKUP($E$4,'Lookup Tables'!$L$46:$AA$58,MATCH($H$260,'Lookup Tables'!$L$46:$X$46),FALSE)</f>
        <v>12</v>
      </c>
      <c r="I296" s="12"/>
      <c r="J296" s="12"/>
      <c r="K296" s="12"/>
      <c r="L296" s="12"/>
      <c r="M296" s="12"/>
      <c r="N296" s="12"/>
      <c r="O296" s="155"/>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227"/>
      <c r="BB296" s="224"/>
      <c r="BC296" s="278" t="s">
        <v>185</v>
      </c>
      <c r="BD296" s="285">
        <f>(BD262+BD274+BD288)*AY294</f>
        <v>0</v>
      </c>
      <c r="BE296" s="373">
        <f>BD294+BD295+BD296+BE293</f>
        <v>0</v>
      </c>
    </row>
    <row r="297" spans="1:57" ht="6" customHeight="1" thickBot="1" x14ac:dyDescent="0.3">
      <c r="A297" s="148"/>
      <c r="B297" s="149"/>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49"/>
      <c r="AL297" s="149"/>
      <c r="AM297" s="149"/>
      <c r="AN297" s="149"/>
      <c r="AO297" s="149"/>
      <c r="AP297" s="149"/>
      <c r="AQ297" s="149"/>
      <c r="AR297" s="149"/>
      <c r="AS297" s="149"/>
      <c r="AT297" s="149"/>
      <c r="AU297" s="149"/>
      <c r="AV297" s="149"/>
      <c r="AW297" s="149"/>
      <c r="AX297" s="149"/>
      <c r="AY297" s="149"/>
      <c r="AZ297" s="149"/>
      <c r="BA297" s="280"/>
      <c r="BB297" s="149"/>
      <c r="BC297" s="149"/>
      <c r="BD297" s="281"/>
      <c r="BE297" s="374"/>
    </row>
    <row r="298" spans="1:57" ht="13.5" customHeight="1" x14ac:dyDescent="0.25">
      <c r="A298" s="257" t="s">
        <v>197</v>
      </c>
      <c r="B298" s="359" t="str">
        <f>Personnel!C90</f>
        <v>12 Month</v>
      </c>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c r="AR298" s="144"/>
      <c r="AS298" s="144"/>
      <c r="AT298" s="144"/>
      <c r="AU298" s="144"/>
      <c r="AV298" s="144"/>
      <c r="AW298" s="144"/>
      <c r="AX298" s="144"/>
      <c r="AY298" s="144"/>
      <c r="AZ298" s="144"/>
      <c r="BA298" s="282"/>
      <c r="BB298" s="144"/>
      <c r="BC298" s="144"/>
      <c r="BD298" s="283"/>
      <c r="BE298" s="12"/>
    </row>
    <row r="299" spans="1:57" ht="13.5" customHeight="1" x14ac:dyDescent="0.25">
      <c r="A299" s="258" t="s">
        <v>174</v>
      </c>
      <c r="B299" s="155" t="s">
        <v>12</v>
      </c>
      <c r="C299" s="259" t="s">
        <v>605</v>
      </c>
      <c r="D299" s="12"/>
      <c r="E299" s="12"/>
      <c r="F299" s="12"/>
      <c r="G299" s="12" t="s">
        <v>182</v>
      </c>
      <c r="H299" s="12"/>
      <c r="I299" s="12"/>
      <c r="J299" s="12"/>
      <c r="K299" s="12"/>
      <c r="L299" s="12"/>
      <c r="M299" s="12" t="s">
        <v>167</v>
      </c>
      <c r="N299" s="12"/>
      <c r="O299" s="12">
        <v>21</v>
      </c>
      <c r="P299" s="12"/>
      <c r="Q299" s="12"/>
      <c r="R299" s="12"/>
      <c r="S299" s="12"/>
      <c r="T299" s="12"/>
      <c r="U299" s="12"/>
      <c r="V299" s="12"/>
      <c r="W299" s="12"/>
      <c r="X299" s="12"/>
      <c r="Y299" s="12" t="s">
        <v>168</v>
      </c>
      <c r="Z299" s="12"/>
      <c r="AA299" s="12">
        <v>22</v>
      </c>
      <c r="AB299" s="12"/>
      <c r="AC299" s="12"/>
      <c r="AD299" s="12"/>
      <c r="AE299" s="12"/>
      <c r="AF299" s="12"/>
      <c r="AG299" s="12"/>
      <c r="AH299" s="12"/>
      <c r="AI299" s="12"/>
      <c r="AJ299" s="12" t="s">
        <v>169</v>
      </c>
      <c r="AK299" s="12"/>
      <c r="AL299" s="12">
        <v>23</v>
      </c>
      <c r="AM299" s="12"/>
      <c r="AN299" s="12"/>
      <c r="AO299" s="12"/>
      <c r="AP299" s="12"/>
      <c r="AQ299" s="12"/>
      <c r="AR299" s="12"/>
      <c r="AS299" s="12"/>
      <c r="AT299" s="12"/>
      <c r="AU299" s="12"/>
      <c r="AV299" s="12"/>
      <c r="AW299" s="12"/>
      <c r="AX299" s="12"/>
      <c r="AY299" s="12"/>
      <c r="AZ299" s="12"/>
      <c r="BA299" s="227"/>
      <c r="BB299" s="12"/>
      <c r="BC299" s="12"/>
      <c r="BD299" s="275"/>
      <c r="BE299" s="12"/>
    </row>
    <row r="300" spans="1:57" ht="13.5" customHeight="1" x14ac:dyDescent="0.25">
      <c r="A300" s="356">
        <f>Personnel!C91</f>
        <v>0</v>
      </c>
      <c r="B300" s="357">
        <f>Personnel!C92</f>
        <v>0</v>
      </c>
      <c r="C300" s="115">
        <f>(B300*9)*2</f>
        <v>0</v>
      </c>
      <c r="D300" s="12"/>
      <c r="E300" s="12"/>
      <c r="F300" s="12"/>
      <c r="G300" s="12"/>
      <c r="H300" s="12"/>
      <c r="I300" s="12"/>
      <c r="J300" s="12"/>
      <c r="K300" s="12"/>
      <c r="L300" s="12"/>
      <c r="M300" s="12"/>
      <c r="N300" s="12"/>
      <c r="O300" s="12">
        <v>22</v>
      </c>
      <c r="P300" s="12"/>
      <c r="Q300" s="12"/>
      <c r="R300" s="12"/>
      <c r="S300" s="12"/>
      <c r="T300" s="12"/>
      <c r="U300" s="12"/>
      <c r="V300" s="12"/>
      <c r="W300" s="12"/>
      <c r="X300" s="12"/>
      <c r="Y300" s="12"/>
      <c r="Z300" s="12"/>
      <c r="AA300" s="12">
        <v>23</v>
      </c>
      <c r="AB300" s="12"/>
      <c r="AC300" s="12"/>
      <c r="AD300" s="12"/>
      <c r="AE300" s="12"/>
      <c r="AF300" s="12"/>
      <c r="AG300" s="12"/>
      <c r="AH300" s="12"/>
      <c r="AI300" s="12"/>
      <c r="AJ300" s="12"/>
      <c r="AK300" s="12"/>
      <c r="AL300" s="12">
        <v>24</v>
      </c>
      <c r="AM300" s="12"/>
      <c r="AN300" s="12"/>
      <c r="AO300" s="12"/>
      <c r="AP300" s="12"/>
      <c r="AQ300" s="12"/>
      <c r="AR300" s="12"/>
      <c r="AS300" s="12"/>
      <c r="AT300" s="12"/>
      <c r="AU300" s="12"/>
      <c r="AV300" s="12"/>
      <c r="AW300" s="12"/>
      <c r="AX300" s="12"/>
      <c r="AY300" s="12"/>
      <c r="AZ300" s="12"/>
      <c r="BA300" s="306" t="s">
        <v>412</v>
      </c>
      <c r="BB300" s="348">
        <f>Personnel!O91</f>
        <v>0</v>
      </c>
      <c r="BC300" s="276" t="s">
        <v>414</v>
      </c>
      <c r="BD300" s="285">
        <f>(N302+Z302+AK302+AV302+N304+Z304+AK304+AV304+N306+Z306+AK306+AV306)*AY302</f>
        <v>0</v>
      </c>
      <c r="BE300" s="15"/>
    </row>
    <row r="301" spans="1:57" ht="13.5" customHeight="1" x14ac:dyDescent="0.25">
      <c r="A301" s="145"/>
      <c r="B301" s="12"/>
      <c r="C301" s="117" t="s">
        <v>30</v>
      </c>
      <c r="D301" s="12"/>
      <c r="E301" s="13" t="s">
        <v>16</v>
      </c>
      <c r="F301" s="13" t="s">
        <v>42</v>
      </c>
      <c r="G301" s="13" t="s">
        <v>41</v>
      </c>
      <c r="H301" s="65" t="s">
        <v>77</v>
      </c>
      <c r="I301" s="64" t="s">
        <v>90</v>
      </c>
      <c r="J301" s="63" t="s">
        <v>70</v>
      </c>
      <c r="K301" s="52" t="s">
        <v>93</v>
      </c>
      <c r="L301" s="13" t="s">
        <v>35</v>
      </c>
      <c r="M301" s="13" t="s">
        <v>82</v>
      </c>
      <c r="N301" s="13" t="s">
        <v>31</v>
      </c>
      <c r="O301" s="14" t="s">
        <v>69</v>
      </c>
      <c r="P301" s="13" t="s">
        <v>72</v>
      </c>
      <c r="Q301" s="65" t="s">
        <v>80</v>
      </c>
      <c r="R301" s="62" t="s">
        <v>81</v>
      </c>
      <c r="S301" s="65" t="s">
        <v>77</v>
      </c>
      <c r="T301" s="600" t="s">
        <v>83</v>
      </c>
      <c r="U301" s="63" t="s">
        <v>70</v>
      </c>
      <c r="V301" s="13" t="s">
        <v>91</v>
      </c>
      <c r="W301" s="13" t="s">
        <v>43</v>
      </c>
      <c r="X301" s="13" t="s">
        <v>53</v>
      </c>
      <c r="Y301" s="13" t="s">
        <v>68</v>
      </c>
      <c r="Z301" s="13" t="s">
        <v>32</v>
      </c>
      <c r="AA301" s="14" t="s">
        <v>69</v>
      </c>
      <c r="AB301" s="13" t="s">
        <v>72</v>
      </c>
      <c r="AC301" s="13" t="s">
        <v>80</v>
      </c>
      <c r="AD301" s="62" t="s">
        <v>81</v>
      </c>
      <c r="AE301" s="65" t="s">
        <v>77</v>
      </c>
      <c r="AF301" s="63" t="s">
        <v>70</v>
      </c>
      <c r="AG301" s="13" t="s">
        <v>92</v>
      </c>
      <c r="AH301" s="13" t="s">
        <v>44</v>
      </c>
      <c r="AI301" s="13" t="s">
        <v>78</v>
      </c>
      <c r="AJ301" s="13" t="s">
        <v>68</v>
      </c>
      <c r="AK301" s="13" t="s">
        <v>33</v>
      </c>
      <c r="AL301" s="14" t="s">
        <v>69</v>
      </c>
      <c r="AM301" s="13" t="s">
        <v>72</v>
      </c>
      <c r="AN301" s="13" t="s">
        <v>80</v>
      </c>
      <c r="AO301" s="62" t="s">
        <v>81</v>
      </c>
      <c r="AP301" s="65" t="s">
        <v>77</v>
      </c>
      <c r="AQ301" s="63" t="s">
        <v>70</v>
      </c>
      <c r="AR301" s="13" t="s">
        <v>92</v>
      </c>
      <c r="AS301" s="13" t="s">
        <v>44</v>
      </c>
      <c r="AT301" s="13" t="s">
        <v>78</v>
      </c>
      <c r="AU301" s="13" t="s">
        <v>68</v>
      </c>
      <c r="AV301" s="13" t="s">
        <v>33</v>
      </c>
      <c r="AW301" s="14" t="s">
        <v>69</v>
      </c>
      <c r="AX301" s="13"/>
      <c r="AY301" s="13" t="s">
        <v>159</v>
      </c>
      <c r="AZ301" s="12"/>
      <c r="BA301" s="227"/>
      <c r="BB301" s="349"/>
      <c r="BC301" s="227"/>
      <c r="BD301" s="285"/>
      <c r="BE301" s="15"/>
    </row>
    <row r="302" spans="1:57" ht="13.5" customHeight="1" x14ac:dyDescent="0.25">
      <c r="A302" s="145"/>
      <c r="B302" s="12"/>
      <c r="C302" s="115"/>
      <c r="D302" s="12"/>
      <c r="E302" s="118">
        <f>BB300</f>
        <v>0</v>
      </c>
      <c r="F302" s="19">
        <f>IF($D$4=2022,1,0)</f>
        <v>0</v>
      </c>
      <c r="G302" s="178">
        <f>IF($B336="Yes",$C$5,$I335)</f>
        <v>12</v>
      </c>
      <c r="H302" s="36">
        <f>VLOOKUP(H334,'Lookup Tables'!$A$22:$B$33,2,FALSE)</f>
        <v>3</v>
      </c>
      <c r="I302" s="192">
        <f>VLOOKUP($E$4,'Lookup Tables'!$AB$46:$AN$58,MATCH($H302,'Lookup Tables'!$AB$46:$AN$46),FALSE)</f>
        <v>12</v>
      </c>
      <c r="J302" s="586">
        <f>VLOOKUP(H302,'Lookup Tables'!$A$3:$AA$16,MATCH(PersonCalcYr2!$G302,'Lookup Tables'!$A$3:$AA$3),FALSE)</f>
        <v>1.5161</v>
      </c>
      <c r="K302" s="54">
        <f>VLOOKUP($H334,'Lookup Tables'!$K$23:$L$34,2,FALSE)</f>
        <v>0</v>
      </c>
      <c r="L302" s="12">
        <f>IF(G302&lt;=K302,G302,K302)</f>
        <v>0</v>
      </c>
      <c r="M302" s="195">
        <f>IF(12-I302&gt;=1,1,0)</f>
        <v>0</v>
      </c>
      <c r="N302" s="15">
        <f>(('Rate Tables'!B85*PersonCalcYr2!E302)*PersonCalcYr2!L302)*PersonCalcYr2!F302*M302</f>
        <v>0</v>
      </c>
      <c r="O302" s="28">
        <f>G302-((J302+L302)*M302)</f>
        <v>12</v>
      </c>
      <c r="P302" s="8">
        <f>IF(O302&lt;0,O302*0,1)*O302</f>
        <v>12</v>
      </c>
      <c r="Q302" s="120">
        <f>VLOOKUP($H334,'Lookup Tables'!$A$22:$B$33,2,FALSE)+(L302*M302)+(J302*M302)</f>
        <v>3</v>
      </c>
      <c r="R302" s="121" t="str">
        <f>VLOOKUP(Q302,'Lookup Tables'!$A$38:$B$151,2,FALSE)</f>
        <v>Sept</v>
      </c>
      <c r="S302" s="36">
        <f>VLOOKUP(R302,'Lookup Tables'!$A$22:$B$33,2,FALSE)</f>
        <v>3</v>
      </c>
      <c r="T302" s="599">
        <f>VLOOKUP($E$4,'Lookup Tables'!$AB$63:$AN$75,MATCH(PersonCalcYr2!$S302,'Lookup Tables'!$AB$63:$AN$63),FALSE)</f>
        <v>0.5161</v>
      </c>
      <c r="U302" s="34">
        <f>VLOOKUP(S302,'Lookup Tables'!$A$3:$AA$16,MATCH(PersonCalcYr2!$P302,'Lookup Tables'!$A$3:$AA$3),FALSE)</f>
        <v>1.5161</v>
      </c>
      <c r="V302" s="12">
        <f>9-T302</f>
        <v>8.4839000000000002</v>
      </c>
      <c r="W302" s="122">
        <f>P302-U302</f>
        <v>10.4839</v>
      </c>
      <c r="X302" s="119">
        <f>IF(V302&lt;=W302,V302,W302)</f>
        <v>8.4839000000000002</v>
      </c>
      <c r="Y302" s="195">
        <f>IF(12-T302-U302-X302&gt;=0,1,0)</f>
        <v>1</v>
      </c>
      <c r="Z302" s="20">
        <f>((('Rate Tables'!C85*$E302)*PersonCalcYr2!$X302)*$F302)*Y302</f>
        <v>0</v>
      </c>
      <c r="AA302" s="197">
        <f>O302-(((U302*U308)+X302)*Y302)</f>
        <v>2</v>
      </c>
      <c r="AB302" s="8">
        <f>IF(AA302&lt;0,AA302*0,1)*AA302</f>
        <v>2</v>
      </c>
      <c r="AC302" s="601">
        <f>S302+(X302*Y302)+((U302*U308)*Y302)</f>
        <v>13</v>
      </c>
      <c r="AD302" s="121" t="str">
        <f>VLOOKUP(AC302,'Lookup Tables'!$A$38:$B$151,2,FALSE)</f>
        <v>July</v>
      </c>
      <c r="AE302" s="36">
        <f>VLOOKUP(AD302,'Lookup Tables'!$A$22:$B$33,2,FALSE)</f>
        <v>1</v>
      </c>
      <c r="AF302" s="34">
        <f>VLOOKUP(AE302,'Lookup Tables'!$A$3:$AA$16,MATCH(PersonCalcYr2!AB302,'Lookup Tables'!$A$3:$AA$3),FALSE)</f>
        <v>1.4839</v>
      </c>
      <c r="AG302" s="12">
        <v>9</v>
      </c>
      <c r="AH302" s="122">
        <f>AB302-AF302</f>
        <v>0.5161</v>
      </c>
      <c r="AI302" s="119">
        <f>IF(AG302&lt;=AH302,AG302,AH302)</f>
        <v>0.5161</v>
      </c>
      <c r="AJ302" s="119">
        <f>IF((AG302+AF302)&lt;=0,0,1)</f>
        <v>1</v>
      </c>
      <c r="AK302" s="124">
        <f>((('Rate Tables'!D85*$E302)*PersonCalcYr2!AI302)*$F302)*AJ302</f>
        <v>0</v>
      </c>
      <c r="AL302" s="28">
        <f>AB302-AF302-AI302</f>
        <v>0</v>
      </c>
      <c r="AM302" s="8">
        <f>IF(AL302&lt;0,AL302*0,1)*AL302</f>
        <v>0</v>
      </c>
      <c r="AN302" s="601">
        <f>AE302+(AI302*AJ302)+((AF302*AF308)*AJ302)</f>
        <v>3</v>
      </c>
      <c r="AO302" s="121" t="str">
        <f>VLOOKUP(AN302,'Lookup Tables'!$A$38:$B$151,2,FALSE)</f>
        <v>Sept</v>
      </c>
      <c r="AP302" s="36">
        <f>VLOOKUP(AO302,'Lookup Tables'!$A$22:$B$33,2,FALSE)</f>
        <v>3</v>
      </c>
      <c r="AQ302" s="34">
        <f>VLOOKUP(AP302,'Lookup Tables'!$A$3:$AA$16,MATCH(PersonCalcYr2!AM302,'Lookup Tables'!$A$3:$AA$3),FALSE)</f>
        <v>0</v>
      </c>
      <c r="AR302" s="12">
        <v>9</v>
      </c>
      <c r="AS302" s="122">
        <f>AM302-AQ302</f>
        <v>0</v>
      </c>
      <c r="AT302" s="119">
        <f>IF(AR302&lt;=AS302,AR302,AS302)</f>
        <v>0</v>
      </c>
      <c r="AU302" s="119">
        <f>IF((AR302+AQ302)&lt;=0,0,1)</f>
        <v>1</v>
      </c>
      <c r="AV302" s="124">
        <f>((('Rate Tables'!E85*$E302)*PersonCalcYr2!AT302)*$F302)*AU302</f>
        <v>0</v>
      </c>
      <c r="AW302" s="28">
        <f>AM302-AQ302-AT302</f>
        <v>0</v>
      </c>
      <c r="AX302" s="19"/>
      <c r="AY302" s="19">
        <f>VLOOKUP(B298,'Lookup Tables'!$AK$22:$AM$24,2,0)</f>
        <v>0</v>
      </c>
      <c r="AZ302" s="12"/>
      <c r="BA302" s="227"/>
      <c r="BB302" s="350"/>
      <c r="BC302" s="276" t="s">
        <v>184</v>
      </c>
      <c r="BD302" s="285">
        <f>BD300*'Rate Tables'!P$8</f>
        <v>0</v>
      </c>
      <c r="BE302" s="15"/>
    </row>
    <row r="303" spans="1:57" ht="13.5" customHeight="1" x14ac:dyDescent="0.25">
      <c r="A303" s="145"/>
      <c r="B303" s="12"/>
      <c r="C303" s="117" t="s">
        <v>597</v>
      </c>
      <c r="D303" s="12"/>
      <c r="E303" s="13" t="s">
        <v>16</v>
      </c>
      <c r="F303" s="13" t="s">
        <v>42</v>
      </c>
      <c r="G303" s="13" t="s">
        <v>41</v>
      </c>
      <c r="H303" s="65" t="s">
        <v>77</v>
      </c>
      <c r="I303" s="64" t="s">
        <v>90</v>
      </c>
      <c r="J303" s="63" t="s">
        <v>70</v>
      </c>
      <c r="K303" s="52" t="s">
        <v>109</v>
      </c>
      <c r="L303" s="13" t="s">
        <v>53</v>
      </c>
      <c r="M303" s="13" t="s">
        <v>82</v>
      </c>
      <c r="N303" s="13" t="s">
        <v>32</v>
      </c>
      <c r="O303" s="14" t="s">
        <v>69</v>
      </c>
      <c r="P303" s="13" t="s">
        <v>72</v>
      </c>
      <c r="Q303" s="65" t="s">
        <v>80</v>
      </c>
      <c r="R303" s="62" t="s">
        <v>81</v>
      </c>
      <c r="S303" s="65" t="s">
        <v>77</v>
      </c>
      <c r="T303" s="600" t="s">
        <v>83</v>
      </c>
      <c r="U303" s="63" t="s">
        <v>70</v>
      </c>
      <c r="V303" s="13" t="s">
        <v>92</v>
      </c>
      <c r="W303" s="13" t="s">
        <v>44</v>
      </c>
      <c r="X303" s="13" t="s">
        <v>78</v>
      </c>
      <c r="Y303" s="13" t="s">
        <v>68</v>
      </c>
      <c r="Z303" s="13" t="s">
        <v>33</v>
      </c>
      <c r="AA303" s="14" t="s">
        <v>69</v>
      </c>
      <c r="AB303" s="13" t="s">
        <v>72</v>
      </c>
      <c r="AC303" s="13" t="s">
        <v>80</v>
      </c>
      <c r="AD303" s="62" t="s">
        <v>81</v>
      </c>
      <c r="AE303" s="65" t="s">
        <v>77</v>
      </c>
      <c r="AF303" s="63" t="s">
        <v>70</v>
      </c>
      <c r="AG303" s="13" t="s">
        <v>94</v>
      </c>
      <c r="AH303" s="13" t="s">
        <v>45</v>
      </c>
      <c r="AI303" s="13" t="s">
        <v>79</v>
      </c>
      <c r="AJ303" s="13" t="s">
        <v>68</v>
      </c>
      <c r="AK303" s="13" t="s">
        <v>34</v>
      </c>
      <c r="AL303" s="14" t="s">
        <v>69</v>
      </c>
      <c r="AM303" s="13" t="s">
        <v>72</v>
      </c>
      <c r="AN303" s="13" t="s">
        <v>80</v>
      </c>
      <c r="AO303" s="62" t="s">
        <v>81</v>
      </c>
      <c r="AP303" s="65" t="s">
        <v>77</v>
      </c>
      <c r="AQ303" s="63" t="s">
        <v>70</v>
      </c>
      <c r="AR303" s="13" t="s">
        <v>94</v>
      </c>
      <c r="AS303" s="13" t="s">
        <v>45</v>
      </c>
      <c r="AT303" s="13" t="s">
        <v>79</v>
      </c>
      <c r="AU303" s="13" t="s">
        <v>68</v>
      </c>
      <c r="AV303" s="13" t="s">
        <v>34</v>
      </c>
      <c r="AW303" s="14" t="s">
        <v>69</v>
      </c>
      <c r="AX303" s="13"/>
      <c r="AY303" s="13"/>
      <c r="AZ303" s="12"/>
      <c r="BA303" s="227"/>
      <c r="BB303" s="351"/>
      <c r="BC303" s="227"/>
      <c r="BD303" s="285"/>
      <c r="BE303" s="15"/>
    </row>
    <row r="304" spans="1:57" ht="13.5" customHeight="1" x14ac:dyDescent="0.25">
      <c r="A304" s="145"/>
      <c r="B304" s="12"/>
      <c r="C304" s="115"/>
      <c r="D304" s="12"/>
      <c r="E304" s="118">
        <f>BB300</f>
        <v>0</v>
      </c>
      <c r="F304" s="19">
        <f>IF($D$4=2023,1,0)</f>
        <v>1</v>
      </c>
      <c r="G304" s="178">
        <f>IF($B336="Yes",$C$5,$I335)</f>
        <v>12</v>
      </c>
      <c r="H304" s="36">
        <f>VLOOKUP(H334,'Lookup Tables'!$A$22:$B$33,2,FALSE)</f>
        <v>3</v>
      </c>
      <c r="I304" s="192">
        <f>VLOOKUP($E$4,'Lookup Tables'!$AB$46:$AN$58,MATCH($H304,'Lookup Tables'!$AB$46:$AN$46),FALSE)</f>
        <v>12</v>
      </c>
      <c r="J304" s="33">
        <f>VLOOKUP(H304,'Lookup Tables'!$A$3:$AA$16,MATCH(PersonCalcYr2!$G304,'Lookup Tables'!$A$3:$AA$3),FALSE)</f>
        <v>1.5161</v>
      </c>
      <c r="K304" s="54">
        <f>VLOOKUP($H334,'Lookup Tables'!$K$23:$L$34,2,FALSE)</f>
        <v>0</v>
      </c>
      <c r="L304" s="12">
        <f>IF(G304&lt;=K304,G304,K304)</f>
        <v>0</v>
      </c>
      <c r="M304" s="195">
        <f>IF(12-I304&gt;=1,1,0)</f>
        <v>0</v>
      </c>
      <c r="N304" s="15">
        <f>(('Rate Tables'!C85*PersonCalcYr2!E304)*PersonCalcYr2!L304)*PersonCalcYr2!F304*M304</f>
        <v>0</v>
      </c>
      <c r="O304" s="28">
        <f>G304-((J304+L304)*M304)</f>
        <v>12</v>
      </c>
      <c r="P304" s="8">
        <f>IF(O304&lt;0,O304*0,1)*O304</f>
        <v>12</v>
      </c>
      <c r="Q304" s="120">
        <f>VLOOKUP($H334,'Lookup Tables'!$A$22:$B$33,2,FALSE)+(L304*M304)+(J304*M304)</f>
        <v>3</v>
      </c>
      <c r="R304" s="121" t="str">
        <f>VLOOKUP(Q304,'Lookup Tables'!$A$38:$B$151,2,FALSE)</f>
        <v>Sept</v>
      </c>
      <c r="S304" s="36">
        <f>VLOOKUP(R304,'Lookup Tables'!$A$22:$B$33,2,FALSE)</f>
        <v>3</v>
      </c>
      <c r="T304" s="599">
        <f>VLOOKUP($E$4,'Lookup Tables'!$AB$63:$AN$75,MATCH(PersonCalcYr2!$S304,'Lookup Tables'!$AB$63:$AN$63),FALSE)</f>
        <v>0.5161</v>
      </c>
      <c r="U304" s="34">
        <f>VLOOKUP(S304,'Lookup Tables'!$A$3:$AA$16,MATCH(PersonCalcYr2!$P304,'Lookup Tables'!$A$3:$AA$3),FALSE)</f>
        <v>1.5161</v>
      </c>
      <c r="V304" s="12">
        <f>9-T304</f>
        <v>8.4839000000000002</v>
      </c>
      <c r="W304" s="122">
        <f>P304-U304</f>
        <v>10.4839</v>
      </c>
      <c r="X304" s="119">
        <f>IF(V304&lt;=W304,V304,W304)</f>
        <v>8.4839000000000002</v>
      </c>
      <c r="Y304" s="195">
        <f>IF(12-T304-U304-X304&gt;=0,1,0)</f>
        <v>1</v>
      </c>
      <c r="Z304" s="20">
        <f>((('Rate Tables'!D85*$E304)*PersonCalcYr2!$X304)*$F304)*Y304</f>
        <v>0</v>
      </c>
      <c r="AA304" s="197">
        <f>O304-(((U304*U308)+X304)*Y304)</f>
        <v>2</v>
      </c>
      <c r="AB304" s="8">
        <f>IF(AA304&lt;0,AA304*0,1)*AA304</f>
        <v>2</v>
      </c>
      <c r="AC304" s="601">
        <f>S304+(X304*Y304)+((U304*U308)*Y304)</f>
        <v>13</v>
      </c>
      <c r="AD304" s="121" t="str">
        <f>VLOOKUP(AC304,'Lookup Tables'!$A$38:$B$151,2,FALSE)</f>
        <v>July</v>
      </c>
      <c r="AE304" s="36">
        <f>VLOOKUP(AD304,'Lookup Tables'!$A$22:$B$33,2,FALSE)</f>
        <v>1</v>
      </c>
      <c r="AF304" s="34">
        <f>VLOOKUP(AE304,'Lookup Tables'!$A$3:$AA$16,MATCH(PersonCalcYr2!AB304,'Lookup Tables'!$A$3:$AA$3),FALSE)</f>
        <v>1.4839</v>
      </c>
      <c r="AG304" s="12">
        <v>9</v>
      </c>
      <c r="AH304" s="122">
        <f>AB304-AF304</f>
        <v>0.5161</v>
      </c>
      <c r="AI304" s="119">
        <f>IF(AG304&lt;=AH304,AG304,AH304)</f>
        <v>0.5161</v>
      </c>
      <c r="AJ304" s="119">
        <f>IF((AG304+AF304)&lt;=0,0,1)</f>
        <v>1</v>
      </c>
      <c r="AK304" s="124">
        <f>((('Rate Tables'!E85*$E304)*PersonCalcYr2!AI304)*$F304)*AJ304</f>
        <v>0</v>
      </c>
      <c r="AL304" s="28">
        <f>AB304-AF304-AI304</f>
        <v>0</v>
      </c>
      <c r="AM304" s="8">
        <f>IF(AL304&lt;0,AL304*0,1)*AL304</f>
        <v>0</v>
      </c>
      <c r="AN304" s="601">
        <f>AE304+(AI304*AJ304)+((AF304*AF308)*AJ304)</f>
        <v>3</v>
      </c>
      <c r="AO304" s="121" t="str">
        <f>VLOOKUP(AN304,'Lookup Tables'!$A$38:$B$151,2,FALSE)</f>
        <v>Sept</v>
      </c>
      <c r="AP304" s="36">
        <f>VLOOKUP(AO304,'Lookup Tables'!$A$22:$B$33,2,FALSE)</f>
        <v>3</v>
      </c>
      <c r="AQ304" s="34">
        <f>VLOOKUP(AP304,'Lookup Tables'!$A$3:$AA$16,MATCH(PersonCalcYr2!AM304,'Lookup Tables'!$A$3:$AA$3),FALSE)</f>
        <v>0</v>
      </c>
      <c r="AR304" s="12">
        <v>9</v>
      </c>
      <c r="AS304" s="122">
        <f>AM304-AQ304</f>
        <v>0</v>
      </c>
      <c r="AT304" s="119">
        <f>IF(AR304&lt;=AS304,AR304,AS304)</f>
        <v>0</v>
      </c>
      <c r="AU304" s="119">
        <f>IF((AR304+AQ304)&lt;=0,0,1)</f>
        <v>1</v>
      </c>
      <c r="AV304" s="124">
        <f>((('Rate Tables'!F85*$E304)*PersonCalcYr2!AT304)*$F304)*AU304</f>
        <v>0</v>
      </c>
      <c r="AW304" s="28">
        <f>AM304-AQ304-AT304</f>
        <v>0</v>
      </c>
      <c r="AX304" s="19"/>
      <c r="AY304" s="19"/>
      <c r="AZ304" s="12"/>
      <c r="BA304" s="1199" t="s">
        <v>580</v>
      </c>
      <c r="BB304" s="349"/>
      <c r="BC304" s="276" t="s">
        <v>134</v>
      </c>
      <c r="BD304" s="285">
        <f>(((O308+O309+O310+AA308+AA309+AA310+AL308+AL309+AL310+AW308+AW309+AW310)*AY308)*BD307)*BB309</f>
        <v>0</v>
      </c>
      <c r="BE304" s="15"/>
    </row>
    <row r="305" spans="1:57" ht="13.5" customHeight="1" x14ac:dyDescent="0.25">
      <c r="A305" s="145"/>
      <c r="B305" s="12"/>
      <c r="C305" s="117" t="s">
        <v>664</v>
      </c>
      <c r="D305" s="12"/>
      <c r="E305" s="13" t="s">
        <v>16</v>
      </c>
      <c r="F305" s="13" t="s">
        <v>42</v>
      </c>
      <c r="G305" s="13" t="s">
        <v>41</v>
      </c>
      <c r="H305" s="65" t="s">
        <v>77</v>
      </c>
      <c r="I305" s="64" t="s">
        <v>90</v>
      </c>
      <c r="J305" s="63" t="s">
        <v>70</v>
      </c>
      <c r="K305" s="52" t="s">
        <v>109</v>
      </c>
      <c r="L305" s="13" t="s">
        <v>53</v>
      </c>
      <c r="M305" s="13" t="s">
        <v>82</v>
      </c>
      <c r="N305" s="13" t="s">
        <v>32</v>
      </c>
      <c r="O305" s="14" t="s">
        <v>69</v>
      </c>
      <c r="P305" s="13" t="s">
        <v>72</v>
      </c>
      <c r="Q305" s="65" t="s">
        <v>80</v>
      </c>
      <c r="R305" s="62" t="s">
        <v>81</v>
      </c>
      <c r="S305" s="65" t="s">
        <v>77</v>
      </c>
      <c r="T305" s="600" t="s">
        <v>83</v>
      </c>
      <c r="U305" s="63" t="s">
        <v>70</v>
      </c>
      <c r="V305" s="13" t="s">
        <v>92</v>
      </c>
      <c r="W305" s="13" t="s">
        <v>44</v>
      </c>
      <c r="X305" s="13" t="s">
        <v>78</v>
      </c>
      <c r="Y305" s="13" t="s">
        <v>68</v>
      </c>
      <c r="Z305" s="13" t="s">
        <v>33</v>
      </c>
      <c r="AA305" s="14" t="s">
        <v>69</v>
      </c>
      <c r="AB305" s="13" t="s">
        <v>72</v>
      </c>
      <c r="AC305" s="13" t="s">
        <v>80</v>
      </c>
      <c r="AD305" s="62" t="s">
        <v>81</v>
      </c>
      <c r="AE305" s="65" t="s">
        <v>77</v>
      </c>
      <c r="AF305" s="63" t="s">
        <v>70</v>
      </c>
      <c r="AG305" s="13" t="s">
        <v>94</v>
      </c>
      <c r="AH305" s="13" t="s">
        <v>45</v>
      </c>
      <c r="AI305" s="13" t="s">
        <v>79</v>
      </c>
      <c r="AJ305" s="13" t="s">
        <v>68</v>
      </c>
      <c r="AK305" s="13" t="s">
        <v>34</v>
      </c>
      <c r="AL305" s="14" t="s">
        <v>69</v>
      </c>
      <c r="AM305" s="13" t="s">
        <v>72</v>
      </c>
      <c r="AN305" s="13" t="s">
        <v>80</v>
      </c>
      <c r="AO305" s="62" t="s">
        <v>81</v>
      </c>
      <c r="AP305" s="65" t="s">
        <v>77</v>
      </c>
      <c r="AQ305" s="63" t="s">
        <v>70</v>
      </c>
      <c r="AR305" s="13" t="s">
        <v>94</v>
      </c>
      <c r="AS305" s="13" t="s">
        <v>45</v>
      </c>
      <c r="AT305" s="13" t="s">
        <v>79</v>
      </c>
      <c r="AU305" s="13" t="s">
        <v>68</v>
      </c>
      <c r="AV305" s="13" t="s">
        <v>34</v>
      </c>
      <c r="AW305" s="14" t="s">
        <v>69</v>
      </c>
      <c r="AX305" s="19"/>
      <c r="AY305" s="19"/>
      <c r="AZ305" s="12"/>
      <c r="BA305" s="1199"/>
      <c r="BB305" s="349"/>
      <c r="BC305" s="276"/>
      <c r="BD305" s="285"/>
      <c r="BE305" s="15"/>
    </row>
    <row r="306" spans="1:57" ht="13.5" customHeight="1" x14ac:dyDescent="0.25">
      <c r="A306" s="145"/>
      <c r="B306" s="12"/>
      <c r="C306" s="115"/>
      <c r="D306" s="12"/>
      <c r="E306" s="118">
        <f>BB300</f>
        <v>0</v>
      </c>
      <c r="F306" s="19">
        <f>IF($D$4=2024,1,0)</f>
        <v>0</v>
      </c>
      <c r="G306" s="178">
        <f>IF($B336="Yes",$C$5,$I335)</f>
        <v>12</v>
      </c>
      <c r="H306" s="36">
        <f>VLOOKUP(H334,'Lookup Tables'!$A$22:$B$33,2,FALSE)</f>
        <v>3</v>
      </c>
      <c r="I306" s="192">
        <f>VLOOKUP($E$4,'Lookup Tables'!$AB$46:$AN$58,MATCH($H306,'Lookup Tables'!$AB$46:$AN$46),FALSE)</f>
        <v>12</v>
      </c>
      <c r="J306" s="33">
        <f>VLOOKUP(H306,'Lookup Tables'!$A$3:$AA$16,MATCH(PersonCalcYr2!$G306,'Lookup Tables'!$A$3:$AA$3),FALSE)</f>
        <v>1.5161</v>
      </c>
      <c r="K306" s="54">
        <f>VLOOKUP($H334,'Lookup Tables'!$K$23:$L$34,2,FALSE)</f>
        <v>0</v>
      </c>
      <c r="L306" s="12">
        <f>IF(G306&lt;=K306,G306,K306)</f>
        <v>0</v>
      </c>
      <c r="M306" s="195">
        <f>IF(12-I306&gt;=1,1,0)</f>
        <v>0</v>
      </c>
      <c r="N306" s="15">
        <f>(('Rate Tables'!D85*PersonCalcYr2!E306)*PersonCalcYr2!L306)*PersonCalcYr2!F306*M306</f>
        <v>0</v>
      </c>
      <c r="O306" s="28">
        <f>G306-((J306+L306)*M306)</f>
        <v>12</v>
      </c>
      <c r="P306" s="8">
        <f>IF(O306&lt;0,O306*0,1)*O306</f>
        <v>12</v>
      </c>
      <c r="Q306" s="120">
        <f>VLOOKUP($H334,'Lookup Tables'!$A$22:$B$33,2,FALSE)+(L306*M306)+(J306*M306)</f>
        <v>3</v>
      </c>
      <c r="R306" s="121" t="str">
        <f>VLOOKUP(Q306,'Lookup Tables'!$A$38:$B$151,2,FALSE)</f>
        <v>Sept</v>
      </c>
      <c r="S306" s="36">
        <f>VLOOKUP(R306,'Lookup Tables'!$A$22:$B$33,2,FALSE)</f>
        <v>3</v>
      </c>
      <c r="T306" s="599">
        <f>VLOOKUP($E$4,'Lookup Tables'!$AB$63:$AN$75,MATCH(PersonCalcYr2!$S306,'Lookup Tables'!$AB$63:$AN$63),FALSE)</f>
        <v>0.5161</v>
      </c>
      <c r="U306" s="34">
        <f>VLOOKUP(S306,'Lookup Tables'!$A$3:$AA$16,MATCH(PersonCalcYr2!$P306,'Lookup Tables'!$A$3:$AA$3),FALSE)</f>
        <v>1.5161</v>
      </c>
      <c r="V306" s="12">
        <f>9-T306</f>
        <v>8.4839000000000002</v>
      </c>
      <c r="W306" s="122">
        <f>P306-U306</f>
        <v>10.4839</v>
      </c>
      <c r="X306" s="119">
        <f>IF(V306&lt;=W306,V306,W306)</f>
        <v>8.4839000000000002</v>
      </c>
      <c r="Y306" s="195">
        <f>IF(12-T306-U306-X306&gt;=0,1,0)</f>
        <v>1</v>
      </c>
      <c r="Z306" s="20">
        <f>((('Rate Tables'!E85*$E306)*PersonCalcYr2!$X306)*$F306)*Y306</f>
        <v>0</v>
      </c>
      <c r="AA306" s="197">
        <f>O306-(((U306*U308)+X306)*Y306)</f>
        <v>2</v>
      </c>
      <c r="AB306" s="8">
        <f>IF(AA306&lt;0,AA306*0,1)*AA306</f>
        <v>2</v>
      </c>
      <c r="AC306" s="601">
        <f>S306+(X306*Y306)+((U306*U308)*Y306)</f>
        <v>13</v>
      </c>
      <c r="AD306" s="121" t="str">
        <f>VLOOKUP(AC306,'Lookup Tables'!$A$38:$B$151,2,FALSE)</f>
        <v>July</v>
      </c>
      <c r="AE306" s="36">
        <f>VLOOKUP(AD306,'Lookup Tables'!$A$22:$B$33,2,FALSE)</f>
        <v>1</v>
      </c>
      <c r="AF306" s="34">
        <f>VLOOKUP(AE306,'Lookup Tables'!$A$3:$AA$16,MATCH(PersonCalcYr2!AB306,'Lookup Tables'!$A$3:$AA$3),FALSE)</f>
        <v>1.4839</v>
      </c>
      <c r="AG306" s="12">
        <v>9</v>
      </c>
      <c r="AH306" s="122">
        <f>AB306-AF306</f>
        <v>0.5161</v>
      </c>
      <c r="AI306" s="119">
        <f>IF(AG306&lt;=AH306,AG306,AH306)</f>
        <v>0.5161</v>
      </c>
      <c r="AJ306" s="119">
        <f>IF((AG306+AF306)&lt;=0,0,1)</f>
        <v>1</v>
      </c>
      <c r="AK306" s="124">
        <f>((('Rate Tables'!F85*$E306)*PersonCalcYr2!AI306)*$F306)*AJ306</f>
        <v>0</v>
      </c>
      <c r="AL306" s="28">
        <f>AB306-AF306-AI306</f>
        <v>0</v>
      </c>
      <c r="AM306" s="8">
        <f>IF(AL306&lt;0,AL306*0,1)*AL306</f>
        <v>0</v>
      </c>
      <c r="AN306" s="601">
        <f>AE306+(AI306*AJ306)+((AF306*AF308)*AJ306)</f>
        <v>3</v>
      </c>
      <c r="AO306" s="121" t="str">
        <f>VLOOKUP(AN306,'Lookup Tables'!$A$38:$B$151,2,FALSE)</f>
        <v>Sept</v>
      </c>
      <c r="AP306" s="36">
        <f>VLOOKUP(AO306,'Lookup Tables'!$A$22:$B$33,2,FALSE)</f>
        <v>3</v>
      </c>
      <c r="AQ306" s="34">
        <f>VLOOKUP(AP306,'Lookup Tables'!$A$3:$AA$16,MATCH(PersonCalcYr2!AM306,'Lookup Tables'!$A$3:$AA$3),FALSE)</f>
        <v>0</v>
      </c>
      <c r="AR306" s="12">
        <v>9</v>
      </c>
      <c r="AS306" s="122">
        <f>AM306-AQ306</f>
        <v>0</v>
      </c>
      <c r="AT306" s="119">
        <f>IF(AR306&lt;=AS306,AR306,AS306)</f>
        <v>0</v>
      </c>
      <c r="AU306" s="119">
        <f>IF((AR306+AQ306)&lt;=0,0,1)</f>
        <v>1</v>
      </c>
      <c r="AV306" s="124">
        <f>((('Rate Tables'!G85*$E306)*PersonCalcYr2!AT306)*$F306)*AU306</f>
        <v>0</v>
      </c>
      <c r="AW306" s="28">
        <f>AM306-AQ306-AT306</f>
        <v>0</v>
      </c>
      <c r="AX306" s="19"/>
      <c r="AY306" s="19"/>
      <c r="AZ306" s="12"/>
      <c r="BA306" s="1199"/>
      <c r="BB306" s="349" t="s">
        <v>643</v>
      </c>
      <c r="BC306" s="276"/>
      <c r="BD306" s="285"/>
      <c r="BE306" s="15"/>
    </row>
    <row r="307" spans="1:57" ht="13.5" customHeight="1" x14ac:dyDescent="0.25">
      <c r="A307" s="145"/>
      <c r="B307" s="12"/>
      <c r="C307" s="115"/>
      <c r="D307" s="12"/>
      <c r="E307" s="118"/>
      <c r="F307" s="19"/>
      <c r="G307" s="12"/>
      <c r="H307" s="12"/>
      <c r="I307" s="141"/>
      <c r="J307" s="228" t="s">
        <v>183</v>
      </c>
      <c r="K307" s="13" t="s">
        <v>181</v>
      </c>
      <c r="L307" s="13" t="s">
        <v>179</v>
      </c>
      <c r="M307" s="13" t="s">
        <v>180</v>
      </c>
      <c r="N307" s="660" t="s">
        <v>128</v>
      </c>
      <c r="O307" s="135" t="s">
        <v>130</v>
      </c>
      <c r="P307" s="8"/>
      <c r="Q307" s="123"/>
      <c r="R307" s="12"/>
      <c r="S307" s="12"/>
      <c r="T307" s="12"/>
      <c r="U307" s="12"/>
      <c r="V307" s="228" t="s">
        <v>183</v>
      </c>
      <c r="W307" s="13" t="s">
        <v>181</v>
      </c>
      <c r="X307" s="13" t="s">
        <v>179</v>
      </c>
      <c r="Y307" s="13" t="s">
        <v>180</v>
      </c>
      <c r="Z307" s="13" t="s">
        <v>128</v>
      </c>
      <c r="AA307" s="135" t="s">
        <v>130</v>
      </c>
      <c r="AB307" s="8"/>
      <c r="AC307" s="123"/>
      <c r="AD307" s="12"/>
      <c r="AE307" s="12"/>
      <c r="AF307" s="12"/>
      <c r="AG307" s="228" t="s">
        <v>183</v>
      </c>
      <c r="AH307" s="13" t="s">
        <v>181</v>
      </c>
      <c r="AI307" s="13" t="s">
        <v>179</v>
      </c>
      <c r="AJ307" s="13" t="s">
        <v>180</v>
      </c>
      <c r="AK307" s="52" t="s">
        <v>128</v>
      </c>
      <c r="AL307" s="135" t="s">
        <v>130</v>
      </c>
      <c r="AN307" s="13"/>
      <c r="AO307" s="13"/>
      <c r="AP307" s="13"/>
      <c r="AQ307" s="13"/>
      <c r="AR307" s="228" t="s">
        <v>183</v>
      </c>
      <c r="AS307" s="13" t="s">
        <v>181</v>
      </c>
      <c r="AT307" s="13" t="s">
        <v>179</v>
      </c>
      <c r="AU307" s="13" t="s">
        <v>180</v>
      </c>
      <c r="AV307" s="52" t="s">
        <v>128</v>
      </c>
      <c r="AW307" s="135" t="s">
        <v>130</v>
      </c>
      <c r="AX307" s="13"/>
      <c r="AY307" s="13" t="s">
        <v>159</v>
      </c>
      <c r="AZ307" s="12"/>
      <c r="BA307" s="1199"/>
      <c r="BB307" s="350" t="s">
        <v>644</v>
      </c>
      <c r="BC307" s="227" t="s">
        <v>582</v>
      </c>
      <c r="BD307" s="663">
        <f>IF(BD300&gt;0,1,0)</f>
        <v>0</v>
      </c>
      <c r="BE307" s="15"/>
    </row>
    <row r="308" spans="1:57" ht="13.5" customHeight="1" x14ac:dyDescent="0.25">
      <c r="A308" s="145"/>
      <c r="B308" s="227"/>
      <c r="C308" s="115"/>
      <c r="D308" s="12"/>
      <c r="E308" s="118"/>
      <c r="F308" s="19"/>
      <c r="G308" s="12"/>
      <c r="H308" s="12"/>
      <c r="I308" s="141"/>
      <c r="J308" s="141">
        <f>IF($BA315&gt;0,1,0)</f>
        <v>0</v>
      </c>
      <c r="K308" s="12">
        <f>IF($BA315=0,1,0)</f>
        <v>1</v>
      </c>
      <c r="L308" s="129">
        <f>'Rate Tables'!$P$17</f>
        <v>910</v>
      </c>
      <c r="M308" s="129">
        <f>'Rate Tables'!$Q$17</f>
        <v>933.34</v>
      </c>
      <c r="N308" s="661">
        <f>ROUNDUP(N311,0)</f>
        <v>0</v>
      </c>
      <c r="O308" s="136">
        <f>((J308*L308)+(K308*M308))*N308</f>
        <v>0</v>
      </c>
      <c r="P308" s="8"/>
      <c r="Q308" s="123"/>
      <c r="R308" s="12"/>
      <c r="S308" s="12"/>
      <c r="T308" s="605" t="s">
        <v>573</v>
      </c>
      <c r="U308" s="606">
        <f>VLOOKUP($E$4,'Lookup Tables'!$L$79:$X$91,MATCH(PersonCalcYr2!$S302,'Lookup Tables'!$L$79:$X$79),FALSE)</f>
        <v>1</v>
      </c>
      <c r="V308" s="141">
        <f>IF($BA315&gt;0,1,0)</f>
        <v>0</v>
      </c>
      <c r="W308" s="12">
        <f>IF($BA315=0,1,0)</f>
        <v>1</v>
      </c>
      <c r="X308" s="129">
        <f>'Rate Tables'!$P$18</f>
        <v>910</v>
      </c>
      <c r="Y308" s="129">
        <f>'Rate Tables'!$Q$18</f>
        <v>933.34</v>
      </c>
      <c r="Z308" s="657">
        <f>IF(Y312&lt;=AA312,Y312,AA312)</f>
        <v>0</v>
      </c>
      <c r="AA308" s="136">
        <f>((V308*X308)+(W308*Y308))*Z308</f>
        <v>0</v>
      </c>
      <c r="AB308" s="8"/>
      <c r="AC308" s="123"/>
      <c r="AD308" s="12"/>
      <c r="AE308" s="605" t="s">
        <v>573</v>
      </c>
      <c r="AF308" s="606">
        <v>1</v>
      </c>
      <c r="AG308" s="141">
        <f>IF($BA315&gt;0,1,0)</f>
        <v>0</v>
      </c>
      <c r="AH308" s="12">
        <f>IF($BA315=0,1,0)</f>
        <v>1</v>
      </c>
      <c r="AI308" s="129">
        <f>'Rate Tables'!$P$19</f>
        <v>910</v>
      </c>
      <c r="AJ308" s="129">
        <f>'Rate Tables'!$Q$19</f>
        <v>933.34</v>
      </c>
      <c r="AK308" s="657">
        <f>IF(AJ312&lt;=AL311,AJ312,AL311)</f>
        <v>0</v>
      </c>
      <c r="AL308" s="136">
        <f>((AG308*AI308)+(AH308*AJ308))*AK308</f>
        <v>0</v>
      </c>
      <c r="AN308" s="19"/>
      <c r="AO308" s="19"/>
      <c r="AP308" s="19"/>
      <c r="AQ308" s="19"/>
      <c r="AR308" s="141">
        <f>IF($BA315&gt;0,1,0)</f>
        <v>0</v>
      </c>
      <c r="AS308" s="12">
        <f>IF($BA315=0,1,0)</f>
        <v>1</v>
      </c>
      <c r="AT308" s="129">
        <f>'Rate Tables'!$P$20</f>
        <v>928.2</v>
      </c>
      <c r="AU308" s="129">
        <f>'Rate Tables'!$Q$20</f>
        <v>952</v>
      </c>
      <c r="AV308" s="657">
        <f>IF(AU311&lt;=AW311,AU311,AW311)</f>
        <v>0</v>
      </c>
      <c r="AW308" s="136">
        <f>((AR308*AT308)+(AS308*AU308))*AV308</f>
        <v>0</v>
      </c>
      <c r="AX308" s="19"/>
      <c r="AY308" s="19">
        <f>VLOOKUP(B298,'Lookup Tables'!$AK$22:$AM$24,2,0)</f>
        <v>0</v>
      </c>
      <c r="AZ308" s="12"/>
      <c r="BA308" s="307">
        <f>N311+N312+N313+Z312+Z313+Z314+AK311+AK312+AK313+AV311+AV312+AV313</f>
        <v>9</v>
      </c>
      <c r="BB308" s="358" t="str">
        <f>IF(BB300=50%,"no",Personnel!O94)</f>
        <v>No</v>
      </c>
      <c r="BC308" s="12"/>
      <c r="BD308" s="285"/>
      <c r="BE308" s="15"/>
    </row>
    <row r="309" spans="1:57" ht="13.5" customHeight="1" x14ac:dyDescent="0.25">
      <c r="A309" s="145"/>
      <c r="B309" s="12"/>
      <c r="C309" s="115"/>
      <c r="D309" s="12"/>
      <c r="E309" s="126"/>
      <c r="F309" s="19"/>
      <c r="G309" s="12"/>
      <c r="H309" s="12"/>
      <c r="I309" s="12"/>
      <c r="J309" s="141">
        <f>IF($BA315&gt;0,1,0)</f>
        <v>0</v>
      </c>
      <c r="K309" s="12">
        <f>IF($BA315=0,1,0)</f>
        <v>1</v>
      </c>
      <c r="L309" s="129">
        <f>'Rate Tables'!$P$18</f>
        <v>910</v>
      </c>
      <c r="M309" s="129">
        <f>'Rate Tables'!$Q$18</f>
        <v>933.34</v>
      </c>
      <c r="N309" s="661">
        <f>ROUNDUP(N312,0)</f>
        <v>0</v>
      </c>
      <c r="O309" s="136">
        <f>((J309*L309)+(K309*M309))*N309</f>
        <v>0</v>
      </c>
      <c r="P309" s="19"/>
      <c r="Q309" s="19"/>
      <c r="R309" s="19"/>
      <c r="S309" s="19"/>
      <c r="T309" s="19"/>
      <c r="U309" s="12"/>
      <c r="V309" s="141">
        <f>IF($BA315&gt;0,1,0)</f>
        <v>0</v>
      </c>
      <c r="W309" s="12">
        <f>IF($BA315=0,1,0)</f>
        <v>1</v>
      </c>
      <c r="X309" s="129">
        <f>'Rate Tables'!$P$19</f>
        <v>910</v>
      </c>
      <c r="Y309" s="129">
        <f>'Rate Tables'!$Q$19</f>
        <v>933.34</v>
      </c>
      <c r="Z309" s="657">
        <f>IF(Y312&lt;=AA313,Y312,AA313)</f>
        <v>9</v>
      </c>
      <c r="AA309" s="136">
        <f>((V309*X309)+(W309*Y309))*Z309</f>
        <v>8400.06</v>
      </c>
      <c r="AB309" s="20"/>
      <c r="AC309" s="20"/>
      <c r="AD309" s="20"/>
      <c r="AE309" s="20"/>
      <c r="AF309" s="123"/>
      <c r="AG309" s="141">
        <f>IF($BA315&gt;0,1,0)</f>
        <v>0</v>
      </c>
      <c r="AH309" s="12">
        <f>IF($BA315=0,1,0)</f>
        <v>1</v>
      </c>
      <c r="AI309" s="129">
        <f>'Rate Tables'!$P$20</f>
        <v>928.2</v>
      </c>
      <c r="AJ309" s="129">
        <f>'Rate Tables'!$Q$20</f>
        <v>952</v>
      </c>
      <c r="AK309" s="657">
        <f>IF(AJ312&lt;=AL312,AJ312,AL312)</f>
        <v>0</v>
      </c>
      <c r="AL309" s="136">
        <f>((AG309*AI309)+(AH309*AJ309))*AK309</f>
        <v>0</v>
      </c>
      <c r="AN309" s="19"/>
      <c r="AO309" s="19"/>
      <c r="AP309" s="19"/>
      <c r="AQ309" s="19"/>
      <c r="AR309" s="141">
        <f>IF($BA315&gt;0,1,0)</f>
        <v>0</v>
      </c>
      <c r="AS309" s="12">
        <f>IF($BA315=0,1,0)</f>
        <v>1</v>
      </c>
      <c r="AT309" s="129">
        <f>'Rate Tables'!$P$21</f>
        <v>946.76</v>
      </c>
      <c r="AU309" s="129">
        <f>'Rate Tables'!$Q$21</f>
        <v>971.04</v>
      </c>
      <c r="AV309" s="657">
        <f>IF(AU311&lt;=AW312,AU311,AW312)</f>
        <v>0</v>
      </c>
      <c r="AW309" s="136">
        <f>((AR309*AT309)+(AS309*AU309))*AV309</f>
        <v>0</v>
      </c>
      <c r="AX309" s="19"/>
      <c r="AY309" s="19"/>
      <c r="AZ309" s="12"/>
      <c r="BA309" s="307">
        <f>ROUNDUP(BA308,0)</f>
        <v>9</v>
      </c>
      <c r="BB309" s="349">
        <f>IF(BB308="yes",0.5,1)</f>
        <v>1</v>
      </c>
      <c r="BC309" s="12"/>
      <c r="BD309" s="285"/>
      <c r="BE309" s="15"/>
    </row>
    <row r="310" spans="1:57" ht="13.5" customHeight="1" x14ac:dyDescent="0.25">
      <c r="A310" s="145"/>
      <c r="B310" s="12"/>
      <c r="C310" s="115"/>
      <c r="D310" s="12"/>
      <c r="E310" s="126"/>
      <c r="F310" s="19"/>
      <c r="G310" s="12"/>
      <c r="H310" s="12"/>
      <c r="I310" s="12"/>
      <c r="J310" s="141">
        <f>IF($BA315&gt;0,1,0)</f>
        <v>0</v>
      </c>
      <c r="K310" s="12">
        <f>IF($BA315=0,1,0)</f>
        <v>1</v>
      </c>
      <c r="L310" s="129">
        <f>'Rate Tables'!$P$19</f>
        <v>910</v>
      </c>
      <c r="M310" s="129">
        <f>'Rate Tables'!$Q$19</f>
        <v>933.34</v>
      </c>
      <c r="N310" s="661">
        <f>ROUNDUP(N313,0)</f>
        <v>0</v>
      </c>
      <c r="O310" s="136">
        <f>((J310*L310)+(K310*M310))*N310</f>
        <v>0</v>
      </c>
      <c r="P310" s="19"/>
      <c r="Q310" s="19"/>
      <c r="R310" s="19"/>
      <c r="S310" s="19"/>
      <c r="T310" s="19"/>
      <c r="U310" s="12"/>
      <c r="V310" s="141">
        <f>IF($BA315&gt;0,1,0)</f>
        <v>0</v>
      </c>
      <c r="W310" s="12">
        <f>IF($BA315=0,1,0)</f>
        <v>1</v>
      </c>
      <c r="X310" s="129">
        <f>'Rate Tables'!$P$20</f>
        <v>928.2</v>
      </c>
      <c r="Y310" s="129">
        <f>'Rate Tables'!$Q$20</f>
        <v>952</v>
      </c>
      <c r="Z310" s="657">
        <f>IF(Y312&lt;=AA314,Y312,AA314)</f>
        <v>0</v>
      </c>
      <c r="AA310" s="136">
        <f>((V310*X310)+(W310*Y310))*Z310</f>
        <v>0</v>
      </c>
      <c r="AB310" s="20"/>
      <c r="AC310" s="20"/>
      <c r="AD310" s="20"/>
      <c r="AE310" s="20"/>
      <c r="AF310" s="123"/>
      <c r="AG310" s="141">
        <f>IF($BA315&gt;0,1,0)</f>
        <v>0</v>
      </c>
      <c r="AH310" s="12">
        <f>IF($BA315=0,1,0)</f>
        <v>1</v>
      </c>
      <c r="AI310" s="129">
        <f>'Rate Tables'!$P$21</f>
        <v>946.76</v>
      </c>
      <c r="AJ310" s="129">
        <f>'Rate Tables'!$Q$21</f>
        <v>971.04</v>
      </c>
      <c r="AK310" s="657">
        <f>IF(AJ312&lt;=AL313,AJ312,AL313)</f>
        <v>0</v>
      </c>
      <c r="AL310" s="136">
        <f>((AG310*AI310)+(AH310*AJ310))*AK310</f>
        <v>0</v>
      </c>
      <c r="AN310" s="19"/>
      <c r="AO310" s="19"/>
      <c r="AP310" s="19"/>
      <c r="AQ310" s="19"/>
      <c r="AR310" s="141">
        <f>IF($BA315&gt;0,1,0)</f>
        <v>0</v>
      </c>
      <c r="AS310" s="12">
        <f>IF($BA315=0,1,0)</f>
        <v>1</v>
      </c>
      <c r="AT310" s="129">
        <f>'Rate Tables'!$P$22</f>
        <v>965.7</v>
      </c>
      <c r="AU310" s="129">
        <f>'Rate Tables'!$Q$22</f>
        <v>990.46</v>
      </c>
      <c r="AV310" s="657">
        <f>IF(AU311&lt;=AW313,AU311,AW313)</f>
        <v>0</v>
      </c>
      <c r="AW310" s="136">
        <f>((AR310*AT310)+(AS310*AU310))*AV310</f>
        <v>0</v>
      </c>
      <c r="AX310" s="19"/>
      <c r="AY310" s="19"/>
      <c r="AZ310" s="12"/>
      <c r="BA310" s="307"/>
      <c r="BB310" s="349"/>
      <c r="BC310" s="12"/>
      <c r="BD310" s="285"/>
      <c r="BE310" s="15"/>
    </row>
    <row r="311" spans="1:57" ht="13.5" customHeight="1" x14ac:dyDescent="0.25">
      <c r="A311" s="145"/>
      <c r="B311" s="12"/>
      <c r="C311" s="115"/>
      <c r="D311" s="12"/>
      <c r="E311" s="126"/>
      <c r="F311" s="19"/>
      <c r="G311" s="12"/>
      <c r="H311" s="12"/>
      <c r="I311" s="12"/>
      <c r="J311" s="141"/>
      <c r="K311" s="12"/>
      <c r="L311" s="129"/>
      <c r="M311" s="129"/>
      <c r="N311" s="661">
        <f>L302*M302*F302</f>
        <v>0</v>
      </c>
      <c r="O311" s="136"/>
      <c r="P311" s="19"/>
      <c r="Q311" s="19"/>
      <c r="R311" s="19"/>
      <c r="S311" s="19"/>
      <c r="T311" s="19"/>
      <c r="U311" s="12"/>
      <c r="V311" s="141"/>
      <c r="W311" s="12"/>
      <c r="X311" s="129"/>
      <c r="Y311" s="129"/>
      <c r="Z311" s="657"/>
      <c r="AA311" s="125"/>
      <c r="AB311" s="20"/>
      <c r="AC311" s="20"/>
      <c r="AD311" s="20"/>
      <c r="AE311" s="20"/>
      <c r="AF311" s="123"/>
      <c r="AG311" s="141"/>
      <c r="AH311" s="12"/>
      <c r="AI311" s="129"/>
      <c r="AJ311" s="129"/>
      <c r="AK311" s="731">
        <f>AI302*AJ302*F302</f>
        <v>0</v>
      </c>
      <c r="AL311" s="732">
        <f>ROUNDUP(AK311,0)</f>
        <v>0</v>
      </c>
      <c r="AN311" s="19"/>
      <c r="AO311" s="19"/>
      <c r="AP311" s="19"/>
      <c r="AQ311" s="19"/>
      <c r="AR311" s="141"/>
      <c r="AS311" s="12"/>
      <c r="AT311" s="653" t="s">
        <v>581</v>
      </c>
      <c r="AU311" s="653">
        <f>AJ312-AK308-AK309*AK310</f>
        <v>0</v>
      </c>
      <c r="AV311" s="654">
        <f>AT302*AU302*F302</f>
        <v>0</v>
      </c>
      <c r="AW311" s="655">
        <f>ROUNDUP(AV311,0)</f>
        <v>0</v>
      </c>
      <c r="AX311" s="19"/>
      <c r="AY311" s="19"/>
      <c r="AZ311" s="12"/>
      <c r="BA311" s="307"/>
      <c r="BB311" s="349"/>
      <c r="BC311" s="12"/>
      <c r="BD311" s="285"/>
      <c r="BE311" s="15"/>
    </row>
    <row r="312" spans="1:57" ht="13.5" customHeight="1" x14ac:dyDescent="0.25">
      <c r="A312" s="145"/>
      <c r="B312" s="12"/>
      <c r="C312" s="115"/>
      <c r="D312" s="12"/>
      <c r="E312" s="126"/>
      <c r="F312" s="19"/>
      <c r="G312" s="12" t="s">
        <v>585</v>
      </c>
      <c r="H312" s="12"/>
      <c r="I312" s="12"/>
      <c r="J312" s="141"/>
      <c r="K312" s="12"/>
      <c r="L312" s="129"/>
      <c r="M312" s="129"/>
      <c r="N312" s="661">
        <f>L304*M304*F304</f>
        <v>0</v>
      </c>
      <c r="O312" s="136"/>
      <c r="P312" s="19"/>
      <c r="Q312" s="19"/>
      <c r="R312" s="19"/>
      <c r="S312" s="19"/>
      <c r="T312" s="19"/>
      <c r="U312" s="12"/>
      <c r="V312" s="141"/>
      <c r="W312" s="12"/>
      <c r="X312" s="653" t="s">
        <v>581</v>
      </c>
      <c r="Y312" s="653">
        <f>BA309-N308-N309-N310</f>
        <v>9</v>
      </c>
      <c r="Z312" s="654">
        <f>X302*Y302*F302</f>
        <v>0</v>
      </c>
      <c r="AA312" s="655">
        <f>ROUNDUP(Z312,0)</f>
        <v>0</v>
      </c>
      <c r="AB312" s="20"/>
      <c r="AC312" s="20"/>
      <c r="AD312" s="20"/>
      <c r="AE312" s="20"/>
      <c r="AF312" s="123"/>
      <c r="AG312" s="141"/>
      <c r="AH312" s="12"/>
      <c r="AI312" s="653" t="s">
        <v>581</v>
      </c>
      <c r="AJ312" s="653">
        <f>Y312-Z308-Z309-Z310</f>
        <v>0</v>
      </c>
      <c r="AK312" s="731">
        <f>AI304*AJ304*F304</f>
        <v>0.5161</v>
      </c>
      <c r="AL312" s="732">
        <f>ROUNDUP(AK312,0)</f>
        <v>1</v>
      </c>
      <c r="AN312" s="19"/>
      <c r="AO312" s="19"/>
      <c r="AP312" s="19"/>
      <c r="AQ312" s="19"/>
      <c r="AR312" s="141"/>
      <c r="AS312" s="12"/>
      <c r="AT312" s="129"/>
      <c r="AU312" s="129"/>
      <c r="AV312" s="731">
        <f>AT304*AU304*F304</f>
        <v>0</v>
      </c>
      <c r="AW312" s="732">
        <f>ROUNDUP(AV312,0)</f>
        <v>0</v>
      </c>
      <c r="AX312" s="19"/>
      <c r="AY312" s="19"/>
      <c r="AZ312" s="12"/>
      <c r="BA312" s="307"/>
      <c r="BB312" s="349"/>
      <c r="BC312" s="12"/>
      <c r="BD312" s="285"/>
      <c r="BE312" s="15"/>
    </row>
    <row r="313" spans="1:57" ht="13.5" customHeight="1" x14ac:dyDescent="0.25">
      <c r="A313" s="145"/>
      <c r="B313" s="12"/>
      <c r="C313" s="259" t="s">
        <v>606</v>
      </c>
      <c r="D313" s="12"/>
      <c r="E313" s="126"/>
      <c r="F313" s="19"/>
      <c r="G313" s="12"/>
      <c r="H313" s="12"/>
      <c r="I313" s="12"/>
      <c r="J313" s="12"/>
      <c r="K313" s="12"/>
      <c r="L313" s="12"/>
      <c r="M313" s="12"/>
      <c r="N313" s="662">
        <f>L306*M306*F306</f>
        <v>0</v>
      </c>
      <c r="O313" s="18"/>
      <c r="P313" s="19"/>
      <c r="Q313" s="19"/>
      <c r="R313" s="19"/>
      <c r="S313" s="19"/>
      <c r="T313" s="19"/>
      <c r="U313" s="12"/>
      <c r="V313" s="122"/>
      <c r="W313" s="122"/>
      <c r="X313" s="656"/>
      <c r="Y313" s="657"/>
      <c r="Z313" s="731">
        <f>X304*Y304*F304</f>
        <v>8.4839000000000002</v>
      </c>
      <c r="AA313" s="732">
        <f>ROUNDUP(Z313,0)</f>
        <v>9</v>
      </c>
      <c r="AB313" s="20"/>
      <c r="AC313" s="20"/>
      <c r="AD313" s="20"/>
      <c r="AE313" s="20"/>
      <c r="AF313" s="123"/>
      <c r="AG313" s="122"/>
      <c r="AH313" s="122"/>
      <c r="AI313" s="122"/>
      <c r="AJ313" s="122"/>
      <c r="AK313" s="658">
        <f>AI306*AJ306*F306</f>
        <v>0</v>
      </c>
      <c r="AL313" s="659">
        <f>ROUNDUP(AK313,0)</f>
        <v>0</v>
      </c>
      <c r="AN313" s="19"/>
      <c r="AO313" s="19"/>
      <c r="AP313" s="19"/>
      <c r="AQ313" s="19"/>
      <c r="AR313" s="122"/>
      <c r="AS313" s="122"/>
      <c r="AT313" s="122"/>
      <c r="AU313" s="122"/>
      <c r="AV313" s="733">
        <f>AT306*AU306*F306</f>
        <v>0</v>
      </c>
      <c r="AW313" s="659">
        <f>ROUNDUP(AV313,0)</f>
        <v>0</v>
      </c>
      <c r="AX313" s="19"/>
      <c r="AY313" s="19"/>
      <c r="AZ313" s="12"/>
      <c r="BA313" s="370" t="s">
        <v>411</v>
      </c>
      <c r="BB313" s="352" t="str">
        <f>Personnel!O92</f>
        <v>None</v>
      </c>
      <c r="BC313" s="276" t="s">
        <v>117</v>
      </c>
      <c r="BD313" s="285">
        <f>(N315+N317+N319+W315+W317+W319+AJ315+AJ317+AJ319+AU315+AU317+AU319)*AY315</f>
        <v>0</v>
      </c>
      <c r="BE313" s="15"/>
    </row>
    <row r="314" spans="1:57" ht="13.5" customHeight="1" x14ac:dyDescent="0.25">
      <c r="A314" s="145"/>
      <c r="B314" s="12"/>
      <c r="C314" s="117" t="s">
        <v>30</v>
      </c>
      <c r="D314" s="12"/>
      <c r="E314" s="13" t="s">
        <v>84</v>
      </c>
      <c r="F314" s="13" t="s">
        <v>42</v>
      </c>
      <c r="G314" s="13" t="s">
        <v>41</v>
      </c>
      <c r="H314" s="65" t="s">
        <v>77</v>
      </c>
      <c r="I314" s="137" t="s">
        <v>101</v>
      </c>
      <c r="J314" s="139" t="s">
        <v>102</v>
      </c>
      <c r="K314" s="127" t="s">
        <v>98</v>
      </c>
      <c r="L314" s="13" t="s">
        <v>100</v>
      </c>
      <c r="M314" s="13" t="s">
        <v>82</v>
      </c>
      <c r="N314" s="13" t="s">
        <v>31</v>
      </c>
      <c r="O314" s="14" t="s">
        <v>69</v>
      </c>
      <c r="P314" s="13" t="s">
        <v>72</v>
      </c>
      <c r="Q314" s="13" t="s">
        <v>103</v>
      </c>
      <c r="R314" s="65" t="s">
        <v>77</v>
      </c>
      <c r="S314" s="137" t="s">
        <v>101</v>
      </c>
      <c r="T314" s="139" t="s">
        <v>102</v>
      </c>
      <c r="U314" s="12" t="s">
        <v>98</v>
      </c>
      <c r="V314" s="13" t="s">
        <v>100</v>
      </c>
      <c r="W314" s="13" t="s">
        <v>32</v>
      </c>
      <c r="X314" s="13" t="s">
        <v>69</v>
      </c>
      <c r="Y314" s="13"/>
      <c r="Z314" s="658">
        <f>X306*Y306*F306</f>
        <v>0</v>
      </c>
      <c r="AA314" s="659">
        <f>ROUNDUP(Z314,0)</f>
        <v>0</v>
      </c>
      <c r="AB314" s="13" t="s">
        <v>72</v>
      </c>
      <c r="AC314" s="13" t="s">
        <v>103</v>
      </c>
      <c r="AD314" s="13"/>
      <c r="AE314" s="65" t="s">
        <v>77</v>
      </c>
      <c r="AF314" s="137" t="s">
        <v>101</v>
      </c>
      <c r="AG314" s="139" t="s">
        <v>102</v>
      </c>
      <c r="AH314" s="12" t="s">
        <v>98</v>
      </c>
      <c r="AI314" s="13" t="s">
        <v>100</v>
      </c>
      <c r="AJ314" s="13" t="s">
        <v>33</v>
      </c>
      <c r="AK314" s="13" t="s">
        <v>69</v>
      </c>
      <c r="AL314" s="18"/>
      <c r="AM314" s="13" t="s">
        <v>72</v>
      </c>
      <c r="AN314" s="13" t="s">
        <v>103</v>
      </c>
      <c r="AO314" s="13"/>
      <c r="AP314" s="65" t="s">
        <v>77</v>
      </c>
      <c r="AQ314" s="137" t="s">
        <v>101</v>
      </c>
      <c r="AR314" s="139" t="s">
        <v>102</v>
      </c>
      <c r="AS314" s="12" t="s">
        <v>98</v>
      </c>
      <c r="AT314" s="13" t="s">
        <v>100</v>
      </c>
      <c r="AU314" s="13" t="s">
        <v>33</v>
      </c>
      <c r="AV314" s="13" t="s">
        <v>69</v>
      </c>
      <c r="AW314" s="18"/>
      <c r="AX314" s="13"/>
      <c r="AY314" s="13" t="s">
        <v>159</v>
      </c>
      <c r="AZ314" s="12"/>
      <c r="BA314" s="276" t="s">
        <v>95</v>
      </c>
      <c r="BB314" s="349"/>
      <c r="BC314" s="276" t="s">
        <v>186</v>
      </c>
      <c r="BD314" s="285">
        <f>BD313*'Rate Tables'!P$8</f>
        <v>0</v>
      </c>
      <c r="BE314" s="15"/>
    </row>
    <row r="315" spans="1:57" ht="13.5" customHeight="1" x14ac:dyDescent="0.25">
      <c r="A315" s="145"/>
      <c r="B315" s="12"/>
      <c r="C315" s="115"/>
      <c r="D315" s="12"/>
      <c r="E315" s="211">
        <f>IF(H336&lt;=H337,H336,H337)</f>
        <v>0</v>
      </c>
      <c r="F315" s="19">
        <f>IF($D$4=2022,1,0)</f>
        <v>0</v>
      </c>
      <c r="G315" s="178">
        <f>IF($B336="Yes",$C$5,$I335)</f>
        <v>12</v>
      </c>
      <c r="H315" s="36">
        <f>H302</f>
        <v>3</v>
      </c>
      <c r="I315" s="138">
        <f>VLOOKUP(J302,'Lookup Tables'!$AB$22:$AC$31,2,FALSE)</f>
        <v>32</v>
      </c>
      <c r="J315" s="140">
        <f>VLOOKUP(U302,'Lookup Tables'!$AB$32:$AC$41,2,FALSE)</f>
        <v>33</v>
      </c>
      <c r="K315" s="123">
        <f>E315-J315</f>
        <v>-33</v>
      </c>
      <c r="L315" s="12">
        <f>IF(K315&gt;0,1,0)</f>
        <v>0</v>
      </c>
      <c r="M315" s="119">
        <f>M302</f>
        <v>0</v>
      </c>
      <c r="N315" s="15">
        <f>((((('Rate Tables'!B85*9)*0.02778)/5)*K315)*L315)*F315*M315*BA317</f>
        <v>0</v>
      </c>
      <c r="O315" s="28">
        <f>O302</f>
        <v>12</v>
      </c>
      <c r="P315" s="8">
        <f>IF(O315&lt;0,O315*0,1)*O315</f>
        <v>12</v>
      </c>
      <c r="Q315" s="123">
        <f>(E315-K315*F315*L315*M315)</f>
        <v>0</v>
      </c>
      <c r="R315" s="36">
        <f>S302</f>
        <v>3</v>
      </c>
      <c r="S315" s="138">
        <f>VLOOKUP(U302,'Lookup Tables'!$AB$22:$AC$31,2,FALSE)</f>
        <v>32</v>
      </c>
      <c r="T315" s="140">
        <f>VLOOKUP(AF302,'Lookup Tables'!$AB$32:$AC$41,2,FALSE)</f>
        <v>33</v>
      </c>
      <c r="U315" s="129">
        <f>Q315-T315</f>
        <v>-33</v>
      </c>
      <c r="V315" s="12">
        <f>IF(U315&gt;0,1,0)</f>
        <v>0</v>
      </c>
      <c r="W315" s="15">
        <f>((('Rate Tables'!C85*9)*0.02778)/5)*U315*F315*V315*BA317</f>
        <v>0</v>
      </c>
      <c r="X315" s="8">
        <f>AA302</f>
        <v>2</v>
      </c>
      <c r="Y315" s="12"/>
      <c r="Z315" s="119"/>
      <c r="AA315" s="18"/>
      <c r="AB315" s="8">
        <f>IF(X315&lt;0,X315*0,1)*X315</f>
        <v>2</v>
      </c>
      <c r="AC315" s="123">
        <f>Q315-(U315*V315)</f>
        <v>0</v>
      </c>
      <c r="AD315" s="12"/>
      <c r="AE315" s="36">
        <f>AE302</f>
        <v>1</v>
      </c>
      <c r="AF315" s="138">
        <f>VLOOKUP(AF302,'Lookup Tables'!$AB$22:$AC$31,2,FALSE)</f>
        <v>32</v>
      </c>
      <c r="AG315" s="140">
        <f>VLOOKUP(AQ302,'Lookup Tables'!$AB$32:$AC$41,2,FALSE)</f>
        <v>0</v>
      </c>
      <c r="AH315" s="125">
        <f>AC315-AG315</f>
        <v>0</v>
      </c>
      <c r="AI315" s="12">
        <f>IF(AH315&gt;0,1,0)</f>
        <v>0</v>
      </c>
      <c r="AJ315" s="15">
        <f>((('Rate Tables'!D85*9)*0.02778)/5)*AH315*AI315*F315*BA317</f>
        <v>0</v>
      </c>
      <c r="AK315" s="8">
        <f>AL302</f>
        <v>0</v>
      </c>
      <c r="AL315" s="18"/>
      <c r="AM315" s="8">
        <f>IF(AK315&lt;0,AK315*0,1)*AK315</f>
        <v>0</v>
      </c>
      <c r="AN315" s="123">
        <f>AC315-(AH315*AI315)</f>
        <v>0</v>
      </c>
      <c r="AO315" s="123"/>
      <c r="AP315" s="36">
        <f>AP302</f>
        <v>3</v>
      </c>
      <c r="AQ315" s="138">
        <f>VLOOKUP(AQ302,'Lookup Tables'!$AB$22:$AC$31,2,FALSE)</f>
        <v>0</v>
      </c>
      <c r="AR315" s="140">
        <v>0</v>
      </c>
      <c r="AS315" s="125">
        <f>AN315-AR315</f>
        <v>0</v>
      </c>
      <c r="AT315" s="12">
        <f>IF(AS315&gt;0,1,0)</f>
        <v>0</v>
      </c>
      <c r="AU315" s="15">
        <f>((('Rate Tables'!E85*9)*0.02778)/5)*AS315*AT315*F315*BA317</f>
        <v>0</v>
      </c>
      <c r="AV315" s="8">
        <f>AW302</f>
        <v>0</v>
      </c>
      <c r="AW315" s="18"/>
      <c r="AX315" s="19"/>
      <c r="AY315" s="19">
        <f>VLOOKUP(B298,'Lookup Tables'!$AK$22:$AM$24,2,0)</f>
        <v>0</v>
      </c>
      <c r="AZ315" s="12"/>
      <c r="BA315" s="308">
        <f>VLOOKUP(BB313,'Lookup Tables'!$AF$22:$AG$24,2,FALSE)</f>
        <v>0</v>
      </c>
      <c r="BB315" s="350"/>
      <c r="BC315" s="12"/>
      <c r="BD315" s="285"/>
      <c r="BE315" s="15"/>
    </row>
    <row r="316" spans="1:57" ht="13.5" customHeight="1" x14ac:dyDescent="0.25">
      <c r="A316" s="145"/>
      <c r="B316" s="12"/>
      <c r="C316" s="117" t="s">
        <v>597</v>
      </c>
      <c r="D316" s="12"/>
      <c r="E316" s="13" t="s">
        <v>84</v>
      </c>
      <c r="F316" s="13" t="s">
        <v>42</v>
      </c>
      <c r="G316" s="13" t="s">
        <v>41</v>
      </c>
      <c r="H316" s="65" t="s">
        <v>77</v>
      </c>
      <c r="I316" s="137" t="s">
        <v>105</v>
      </c>
      <c r="J316" s="139" t="s">
        <v>106</v>
      </c>
      <c r="K316" s="127" t="s">
        <v>99</v>
      </c>
      <c r="L316" s="13" t="s">
        <v>100</v>
      </c>
      <c r="M316" s="13" t="s">
        <v>82</v>
      </c>
      <c r="N316" s="13" t="s">
        <v>32</v>
      </c>
      <c r="O316" s="14" t="s">
        <v>69</v>
      </c>
      <c r="P316" s="13" t="s">
        <v>72</v>
      </c>
      <c r="Q316" s="13" t="s">
        <v>103</v>
      </c>
      <c r="R316" s="65" t="s">
        <v>77</v>
      </c>
      <c r="S316" s="137" t="s">
        <v>105</v>
      </c>
      <c r="T316" s="139" t="s">
        <v>106</v>
      </c>
      <c r="U316" s="12" t="s">
        <v>98</v>
      </c>
      <c r="V316" s="13" t="s">
        <v>100</v>
      </c>
      <c r="W316" s="13" t="s">
        <v>33</v>
      </c>
      <c r="X316" s="13" t="s">
        <v>69</v>
      </c>
      <c r="Y316" s="13"/>
      <c r="Z316" s="13"/>
      <c r="AA316" s="18"/>
      <c r="AB316" s="13" t="s">
        <v>72</v>
      </c>
      <c r="AC316" s="13" t="s">
        <v>104</v>
      </c>
      <c r="AD316" s="13"/>
      <c r="AE316" s="65" t="s">
        <v>77</v>
      </c>
      <c r="AF316" s="137" t="s">
        <v>105</v>
      </c>
      <c r="AG316" s="139" t="s">
        <v>106</v>
      </c>
      <c r="AH316" s="12" t="s">
        <v>98</v>
      </c>
      <c r="AI316" s="13" t="s">
        <v>100</v>
      </c>
      <c r="AJ316" s="13" t="s">
        <v>34</v>
      </c>
      <c r="AK316" s="13" t="s">
        <v>69</v>
      </c>
      <c r="AL316" s="18"/>
      <c r="AM316" s="13" t="s">
        <v>72</v>
      </c>
      <c r="AN316" s="13" t="s">
        <v>104</v>
      </c>
      <c r="AO316" s="13"/>
      <c r="AP316" s="65" t="s">
        <v>77</v>
      </c>
      <c r="AQ316" s="137" t="s">
        <v>105</v>
      </c>
      <c r="AR316" s="139" t="s">
        <v>106</v>
      </c>
      <c r="AS316" s="12" t="s">
        <v>98</v>
      </c>
      <c r="AT316" s="13" t="s">
        <v>100</v>
      </c>
      <c r="AU316" s="13" t="s">
        <v>34</v>
      </c>
      <c r="AV316" s="13" t="s">
        <v>69</v>
      </c>
      <c r="AW316" s="18"/>
      <c r="AX316" s="13"/>
      <c r="AY316" s="13"/>
      <c r="AZ316" s="12"/>
      <c r="BA316" s="227" t="s">
        <v>126</v>
      </c>
      <c r="BB316" s="349" t="s">
        <v>643</v>
      </c>
      <c r="BC316" s="276" t="s">
        <v>187</v>
      </c>
      <c r="BD316" s="285">
        <f>(((O321+O322+O323+AA321+AA322+AA323+AL321+AL322+AL323+AW321+AW322+AW323)*AY321)*BD317)*BB319</f>
        <v>0</v>
      </c>
      <c r="BE316" s="15"/>
    </row>
    <row r="317" spans="1:57" ht="13.5" customHeight="1" x14ac:dyDescent="0.25">
      <c r="A317" s="145"/>
      <c r="B317" s="12"/>
      <c r="C317" s="115"/>
      <c r="D317" s="12"/>
      <c r="E317" s="128">
        <f>E315</f>
        <v>0</v>
      </c>
      <c r="F317" s="19">
        <f>IF($D$4=2023,1,0)</f>
        <v>1</v>
      </c>
      <c r="G317" s="178">
        <f>IF($B336="Yes",$C$5,$I335)</f>
        <v>12</v>
      </c>
      <c r="H317" s="36">
        <f>H304</f>
        <v>3</v>
      </c>
      <c r="I317" s="138">
        <f>VLOOKUP(J304,'Lookup Tables'!$AB$22:$AC$31,2,FALSE)</f>
        <v>32</v>
      </c>
      <c r="J317" s="140">
        <f>VLOOKUP(U304,'Lookup Tables'!$AB$32:$AC$41,2,FALSE)</f>
        <v>33</v>
      </c>
      <c r="K317" s="123">
        <f>E317-J317</f>
        <v>-33</v>
      </c>
      <c r="L317" s="12">
        <f>IF(K317&gt;0,1,0)</f>
        <v>0</v>
      </c>
      <c r="M317" s="119">
        <f>M304</f>
        <v>0</v>
      </c>
      <c r="N317" s="15">
        <f>((((('Rate Tables'!C85*9)*0.02778)/5)*K317)*L317)*F317*M317*BA317</f>
        <v>0</v>
      </c>
      <c r="O317" s="28">
        <f>O304</f>
        <v>12</v>
      </c>
      <c r="P317" s="8">
        <f>IF(O317&lt;0,O317*0,1)*O317</f>
        <v>12</v>
      </c>
      <c r="Q317" s="123">
        <f>(E317-K317*F317*L317*M317)</f>
        <v>0</v>
      </c>
      <c r="R317" s="36">
        <f>S304</f>
        <v>3</v>
      </c>
      <c r="S317" s="138">
        <f>VLOOKUP(U304,'Lookup Tables'!$AB$22:$AC$31,2,FALSE)</f>
        <v>32</v>
      </c>
      <c r="T317" s="140">
        <f>VLOOKUP(AF304,'Lookup Tables'!$AB$32:$AC$41,2,FALSE)</f>
        <v>33</v>
      </c>
      <c r="U317" s="129">
        <f>Q317-T317</f>
        <v>-33</v>
      </c>
      <c r="V317" s="12">
        <f>IF(U317&gt;0,1,0)</f>
        <v>0</v>
      </c>
      <c r="W317" s="15">
        <f>((('Rate Tables'!D85*9)*0.02778)/5)*U317*F317*V317*BA317</f>
        <v>0</v>
      </c>
      <c r="X317" s="8">
        <f>AA304</f>
        <v>2</v>
      </c>
      <c r="Y317" s="12"/>
      <c r="Z317" s="119"/>
      <c r="AA317" s="18"/>
      <c r="AB317" s="8">
        <f>IF(X317&lt;0,X317*0,1)*X317</f>
        <v>2</v>
      </c>
      <c r="AC317" s="123">
        <f>Q317-(U317*V317)</f>
        <v>0</v>
      </c>
      <c r="AD317" s="12"/>
      <c r="AE317" s="36">
        <f>AE304</f>
        <v>1</v>
      </c>
      <c r="AF317" s="138">
        <f>VLOOKUP(AF304,'Lookup Tables'!$AB$22:$AC$31,2,FALSE)</f>
        <v>32</v>
      </c>
      <c r="AG317" s="140">
        <f>VLOOKUP(AQ304,'Lookup Tables'!$AB$32:$AC$41,2,FALSE)</f>
        <v>0</v>
      </c>
      <c r="AH317" s="125">
        <f>AC317-AG317</f>
        <v>0</v>
      </c>
      <c r="AI317" s="12">
        <f>IF(AH317&gt;0,1,0)</f>
        <v>0</v>
      </c>
      <c r="AJ317" s="15">
        <f>((('Rate Tables'!E85*9)*0.02778)/5)*AH317*AI317*F317*BA317</f>
        <v>0</v>
      </c>
      <c r="AK317" s="8">
        <f>AL304</f>
        <v>0</v>
      </c>
      <c r="AL317" s="18"/>
      <c r="AM317" s="8">
        <f>IF(AK317&lt;0,AK317*0,1)*AK317</f>
        <v>0</v>
      </c>
      <c r="AN317" s="123">
        <f>AC317-(AH317*AI317)</f>
        <v>0</v>
      </c>
      <c r="AO317" s="12"/>
      <c r="AP317" s="36">
        <f>AP304</f>
        <v>3</v>
      </c>
      <c r="AQ317" s="138">
        <f>VLOOKUP(AQ304,'Lookup Tables'!$AB$22:$AC$31,2,FALSE)</f>
        <v>0</v>
      </c>
      <c r="AR317" s="140">
        <v>0</v>
      </c>
      <c r="AS317" s="125">
        <f>AN317-AR317</f>
        <v>0</v>
      </c>
      <c r="AT317" s="12">
        <f>IF(AS317&gt;0,1,0)</f>
        <v>0</v>
      </c>
      <c r="AU317" s="15">
        <f>((('Rate Tables'!F85*9)*0.02778)/5)*AS317*AT317*F317*BA317</f>
        <v>0</v>
      </c>
      <c r="AV317" s="8">
        <f>AW304</f>
        <v>0</v>
      </c>
      <c r="AW317" s="18"/>
      <c r="AX317" s="19"/>
      <c r="AY317" s="19"/>
      <c r="AZ317" s="12"/>
      <c r="BA317" s="319">
        <f>VLOOKUP(BB313,'Lookup Tables'!$AF$26:$AG$28,2,0)</f>
        <v>0</v>
      </c>
      <c r="BB317" s="350" t="s">
        <v>644</v>
      </c>
      <c r="BC317" s="227" t="s">
        <v>582</v>
      </c>
      <c r="BD317" s="663">
        <f>IF(BD313&gt;0,1,0)</f>
        <v>0</v>
      </c>
      <c r="BE317" s="15"/>
    </row>
    <row r="318" spans="1:57" ht="13.5" customHeight="1" x14ac:dyDescent="0.25">
      <c r="A318" s="145"/>
      <c r="B318" s="12"/>
      <c r="C318" s="117" t="s">
        <v>664</v>
      </c>
      <c r="D318" s="12"/>
      <c r="E318" s="13" t="s">
        <v>84</v>
      </c>
      <c r="F318" s="13" t="s">
        <v>42</v>
      </c>
      <c r="G318" s="13" t="s">
        <v>41</v>
      </c>
      <c r="H318" s="65" t="s">
        <v>77</v>
      </c>
      <c r="I318" s="137" t="s">
        <v>105</v>
      </c>
      <c r="J318" s="139" t="s">
        <v>106</v>
      </c>
      <c r="K318" s="127" t="s">
        <v>99</v>
      </c>
      <c r="L318" s="13" t="s">
        <v>100</v>
      </c>
      <c r="M318" s="13" t="s">
        <v>82</v>
      </c>
      <c r="N318" s="13" t="s">
        <v>32</v>
      </c>
      <c r="O318" s="14" t="s">
        <v>69</v>
      </c>
      <c r="P318" s="13" t="s">
        <v>72</v>
      </c>
      <c r="Q318" s="13" t="s">
        <v>103</v>
      </c>
      <c r="R318" s="65" t="s">
        <v>77</v>
      </c>
      <c r="S318" s="137" t="s">
        <v>105</v>
      </c>
      <c r="T318" s="139" t="s">
        <v>106</v>
      </c>
      <c r="U318" s="12" t="s">
        <v>98</v>
      </c>
      <c r="V318" s="13" t="s">
        <v>100</v>
      </c>
      <c r="W318" s="13" t="s">
        <v>33</v>
      </c>
      <c r="X318" s="13" t="s">
        <v>69</v>
      </c>
      <c r="Y318" s="13"/>
      <c r="Z318" s="13"/>
      <c r="AA318" s="18"/>
      <c r="AB318" s="13" t="s">
        <v>72</v>
      </c>
      <c r="AC318" s="13" t="s">
        <v>104</v>
      </c>
      <c r="AD318" s="13"/>
      <c r="AE318" s="65" t="s">
        <v>77</v>
      </c>
      <c r="AF318" s="137" t="s">
        <v>105</v>
      </c>
      <c r="AG318" s="139" t="s">
        <v>106</v>
      </c>
      <c r="AH318" s="12" t="s">
        <v>98</v>
      </c>
      <c r="AI318" s="13" t="s">
        <v>100</v>
      </c>
      <c r="AJ318" s="13" t="s">
        <v>34</v>
      </c>
      <c r="AK318" s="13" t="s">
        <v>69</v>
      </c>
      <c r="AL318" s="18"/>
      <c r="AM318" s="13" t="s">
        <v>72</v>
      </c>
      <c r="AN318" s="13" t="s">
        <v>104</v>
      </c>
      <c r="AO318" s="13"/>
      <c r="AP318" s="65" t="s">
        <v>77</v>
      </c>
      <c r="AQ318" s="137" t="s">
        <v>105</v>
      </c>
      <c r="AR318" s="139" t="s">
        <v>106</v>
      </c>
      <c r="AS318" s="12" t="s">
        <v>98</v>
      </c>
      <c r="AT318" s="13" t="s">
        <v>100</v>
      </c>
      <c r="AU318" s="13" t="s">
        <v>34</v>
      </c>
      <c r="AV318" s="13" t="s">
        <v>69</v>
      </c>
      <c r="AW318" s="18"/>
      <c r="AX318" s="19"/>
      <c r="AY318" s="19"/>
      <c r="AZ318" s="12"/>
      <c r="BA318" s="227"/>
      <c r="BB318" s="358" t="str">
        <f>IF(BB313="50% sum","no",Personnel!O94)</f>
        <v>No</v>
      </c>
      <c r="BC318" s="12"/>
      <c r="BD318" s="285"/>
      <c r="BE318" s="15"/>
    </row>
    <row r="319" spans="1:57" ht="13.5" customHeight="1" x14ac:dyDescent="0.25">
      <c r="A319" s="145"/>
      <c r="B319" s="12"/>
      <c r="C319" s="115"/>
      <c r="D319" s="12"/>
      <c r="E319" s="128">
        <f>E317</f>
        <v>0</v>
      </c>
      <c r="F319" s="19">
        <f>IF($D$4=2024,1,0)</f>
        <v>0</v>
      </c>
      <c r="G319" s="178">
        <f>IF($B336="Yes",$C$5,$I335)</f>
        <v>12</v>
      </c>
      <c r="H319" s="36">
        <f>H306</f>
        <v>3</v>
      </c>
      <c r="I319" s="138">
        <f>VLOOKUP(J306,'Lookup Tables'!$AB$22:$AC$31,2,FALSE)</f>
        <v>32</v>
      </c>
      <c r="J319" s="140">
        <f>VLOOKUP(U306,'Lookup Tables'!$AB$32:$AC$41,2,FALSE)</f>
        <v>33</v>
      </c>
      <c r="K319" s="123">
        <f>E319-J319</f>
        <v>-33</v>
      </c>
      <c r="L319" s="12">
        <f>IF(K319&gt;0,1,0)</f>
        <v>0</v>
      </c>
      <c r="M319" s="119">
        <f>M306</f>
        <v>0</v>
      </c>
      <c r="N319" s="15">
        <f>((((('Rate Tables'!D85*9)*0.02778)/5)*K319)*L319)*F319*M319*BA317</f>
        <v>0</v>
      </c>
      <c r="O319" s="28">
        <f>O306</f>
        <v>12</v>
      </c>
      <c r="P319" s="8">
        <f>IF(O319&lt;0,O319*0,1)*O319</f>
        <v>12</v>
      </c>
      <c r="Q319" s="123">
        <f>(E319-K319*F319*L319*M319)</f>
        <v>0</v>
      </c>
      <c r="R319" s="36">
        <f>S306</f>
        <v>3</v>
      </c>
      <c r="S319" s="138">
        <f>VLOOKUP(U306,'Lookup Tables'!$AB$22:$AC$31,2,FALSE)</f>
        <v>32</v>
      </c>
      <c r="T319" s="140">
        <f>VLOOKUP(AF306,'Lookup Tables'!$AB$32:$AC$41,2,FALSE)</f>
        <v>33</v>
      </c>
      <c r="U319" s="129">
        <f>Q319-T319</f>
        <v>-33</v>
      </c>
      <c r="V319" s="12">
        <f>IF(U319&gt;0,1,0)</f>
        <v>0</v>
      </c>
      <c r="W319" s="15">
        <f>((('Rate Tables'!E85*9)*0.02778)/5)*U319*F319*V319*BA317</f>
        <v>0</v>
      </c>
      <c r="X319" s="8">
        <f>AA306</f>
        <v>2</v>
      </c>
      <c r="Y319" s="12"/>
      <c r="Z319" s="119"/>
      <c r="AA319" s="18"/>
      <c r="AB319" s="8">
        <f>IF(X319&lt;0,X319*0,1)*X319</f>
        <v>2</v>
      </c>
      <c r="AC319" s="123">
        <f>Q319-(U319*V319)</f>
        <v>0</v>
      </c>
      <c r="AD319" s="12"/>
      <c r="AE319" s="36">
        <f>AE306</f>
        <v>1</v>
      </c>
      <c r="AF319" s="138">
        <f>VLOOKUP(AF306,'Lookup Tables'!$AB$22:$AC$31,2,FALSE)</f>
        <v>32</v>
      </c>
      <c r="AG319" s="140">
        <f>VLOOKUP(AQ306,'Lookup Tables'!$AB$32:$AC$41,2,FALSE)</f>
        <v>0</v>
      </c>
      <c r="AH319" s="125">
        <f>AC319-AG319</f>
        <v>0</v>
      </c>
      <c r="AI319" s="12">
        <f>IF(AH319&gt;0,1,0)</f>
        <v>0</v>
      </c>
      <c r="AJ319" s="15">
        <f>((('Rate Tables'!F85*9)*0.02778)/5)*AH319*AI319*F319*BA317</f>
        <v>0</v>
      </c>
      <c r="AK319" s="8">
        <f>AL306</f>
        <v>0</v>
      </c>
      <c r="AL319" s="18"/>
      <c r="AM319" s="8">
        <f>IF(AK319&lt;0,AK319*0,1)*AK319</f>
        <v>0</v>
      </c>
      <c r="AN319" s="123">
        <f>AC319-(AH319*AI319)</f>
        <v>0</v>
      </c>
      <c r="AO319" s="12"/>
      <c r="AP319" s="36">
        <f>AP306</f>
        <v>3</v>
      </c>
      <c r="AQ319" s="138">
        <f>VLOOKUP(AQ306,'Lookup Tables'!$AB$22:$AC$31,2,FALSE)</f>
        <v>0</v>
      </c>
      <c r="AR319" s="140">
        <v>0</v>
      </c>
      <c r="AS319" s="125">
        <f>AN319-AR319</f>
        <v>0</v>
      </c>
      <c r="AT319" s="12">
        <f>IF(AS319&gt;0,1,0)</f>
        <v>0</v>
      </c>
      <c r="AU319" s="15">
        <f>((('Rate Tables'!G85*9)*0.02778)/5)*AS319*AT319*F319*BA317</f>
        <v>0</v>
      </c>
      <c r="AV319" s="8">
        <f>AW306</f>
        <v>0</v>
      </c>
      <c r="AW319" s="18"/>
      <c r="AX319" s="19"/>
      <c r="AY319" s="19"/>
      <c r="AZ319" s="12"/>
      <c r="BA319" s="227"/>
      <c r="BB319" s="349">
        <f>IF(BB318="yes",0.5,1)</f>
        <v>1</v>
      </c>
      <c r="BC319" s="12"/>
      <c r="BD319" s="285"/>
      <c r="BE319" s="15"/>
    </row>
    <row r="320" spans="1:57" ht="13.5" customHeight="1" x14ac:dyDescent="0.25">
      <c r="A320" s="145"/>
      <c r="B320" s="12"/>
      <c r="C320" s="743"/>
      <c r="D320" s="12"/>
      <c r="E320" s="12"/>
      <c r="F320" s="12"/>
      <c r="G320" s="12"/>
      <c r="H320" s="12"/>
      <c r="I320" s="12" t="s">
        <v>641</v>
      </c>
      <c r="J320" s="12" t="s">
        <v>642</v>
      </c>
      <c r="K320" s="12" t="s">
        <v>164</v>
      </c>
      <c r="L320" s="13" t="s">
        <v>165</v>
      </c>
      <c r="M320" s="608" t="s">
        <v>128</v>
      </c>
      <c r="N320" s="147" t="s">
        <v>129</v>
      </c>
      <c r="O320" s="135" t="s">
        <v>130</v>
      </c>
      <c r="P320" s="12"/>
      <c r="Q320" s="12"/>
      <c r="R320" s="12"/>
      <c r="S320" s="12"/>
      <c r="T320" s="12"/>
      <c r="U320" s="12"/>
      <c r="V320" s="12" t="s">
        <v>166</v>
      </c>
      <c r="W320" s="12" t="s">
        <v>163</v>
      </c>
      <c r="X320" s="13" t="s">
        <v>165</v>
      </c>
      <c r="Y320" s="650" t="s">
        <v>128</v>
      </c>
      <c r="Z320" s="13" t="s">
        <v>129</v>
      </c>
      <c r="AA320" s="135" t="s">
        <v>130</v>
      </c>
      <c r="AB320" s="12"/>
      <c r="AC320" s="12"/>
      <c r="AD320" s="12"/>
      <c r="AE320" s="12"/>
      <c r="AF320" s="12"/>
      <c r="AG320" s="12" t="s">
        <v>166</v>
      </c>
      <c r="AH320" s="12" t="s">
        <v>163</v>
      </c>
      <c r="AI320" s="13" t="s">
        <v>165</v>
      </c>
      <c r="AJ320" s="650" t="s">
        <v>128</v>
      </c>
      <c r="AK320" s="13" t="s">
        <v>129</v>
      </c>
      <c r="AL320" s="135" t="s">
        <v>130</v>
      </c>
      <c r="AN320" s="13"/>
      <c r="AO320" s="13"/>
      <c r="AP320" s="13"/>
      <c r="AQ320" s="13"/>
      <c r="AR320" s="12" t="s">
        <v>166</v>
      </c>
      <c r="AS320" s="12" t="s">
        <v>163</v>
      </c>
      <c r="AT320" s="13" t="s">
        <v>165</v>
      </c>
      <c r="AU320" s="650" t="s">
        <v>128</v>
      </c>
      <c r="AV320" s="13" t="s">
        <v>129</v>
      </c>
      <c r="AW320" s="135" t="s">
        <v>130</v>
      </c>
      <c r="AX320" s="13"/>
      <c r="AY320" s="13" t="s">
        <v>159</v>
      </c>
      <c r="AZ320" s="12"/>
      <c r="BA320" s="227"/>
      <c r="BB320" s="350"/>
      <c r="BC320" s="12"/>
      <c r="BD320" s="285"/>
      <c r="BE320" s="15"/>
    </row>
    <row r="321" spans="1:57" ht="13.5" customHeight="1" x14ac:dyDescent="0.25">
      <c r="A321" s="145"/>
      <c r="B321" s="12"/>
      <c r="C321" s="114"/>
      <c r="D321" s="12"/>
      <c r="E321" s="12"/>
      <c r="F321" s="12"/>
      <c r="G321" s="12"/>
      <c r="H321" s="12"/>
      <c r="I321" s="12">
        <f>G302</f>
        <v>12</v>
      </c>
      <c r="J321" s="125">
        <f>BA309</f>
        <v>9</v>
      </c>
      <c r="K321" s="758">
        <f>I321-J321</f>
        <v>3</v>
      </c>
      <c r="L321" s="123">
        <f>V321</f>
        <v>0</v>
      </c>
      <c r="M321" s="609">
        <f>IF(M324&lt;=0,0,ROUNDUP(M324,0))</f>
        <v>3</v>
      </c>
      <c r="N321" s="161">
        <f>'Rate Tables'!$P$17</f>
        <v>910</v>
      </c>
      <c r="O321" s="136">
        <f>(M321*N321)*F315*M315</f>
        <v>0</v>
      </c>
      <c r="P321" s="12"/>
      <c r="Q321" s="12"/>
      <c r="R321" s="12"/>
      <c r="S321" s="12"/>
      <c r="T321" s="12"/>
      <c r="U321" s="12"/>
      <c r="V321" s="12">
        <f>VLOOKUP((U315*V315),'Lookup Tables'!$E$38:$F$103,2,0)</f>
        <v>0</v>
      </c>
      <c r="W321" s="12">
        <f>K321-(M321*M315)</f>
        <v>3</v>
      </c>
      <c r="X321" s="119">
        <f>AG321</f>
        <v>0</v>
      </c>
      <c r="Y321" s="609">
        <f>IF(Y324&lt;=0,0,ROUNDUP(Y324,0))</f>
        <v>3</v>
      </c>
      <c r="Z321" s="129">
        <f>'Rate Tables'!$P$18</f>
        <v>910</v>
      </c>
      <c r="AA321" s="136">
        <f>Y321*Z321*F315*V315</f>
        <v>0</v>
      </c>
      <c r="AB321" s="12"/>
      <c r="AC321" s="12"/>
      <c r="AD321" s="12"/>
      <c r="AE321" s="12"/>
      <c r="AF321" s="12"/>
      <c r="AG321" s="12">
        <f>VLOOKUP(AH315,'Lookup Tables'!$E$38:$F$103,2,0)</f>
        <v>0</v>
      </c>
      <c r="AH321" s="125">
        <f>W321-(Y321*V315)</f>
        <v>3</v>
      </c>
      <c r="AI321" s="119">
        <f>AR321</f>
        <v>0</v>
      </c>
      <c r="AJ321" s="609">
        <f>IF(AJ324&lt;=0,0,ROUNDUP(AJ324,0))</f>
        <v>3</v>
      </c>
      <c r="AK321" s="129">
        <f>'Rate Tables'!$P$19</f>
        <v>910</v>
      </c>
      <c r="AL321" s="136">
        <f>AJ321*AK321*F315*AI315</f>
        <v>0</v>
      </c>
      <c r="AN321" s="19"/>
      <c r="AO321" s="19"/>
      <c r="AP321" s="19"/>
      <c r="AQ321" s="19"/>
      <c r="AR321" s="12">
        <f>VLOOKUP((AS315*AT315),'Lookup Tables'!$E$38:$F$103,2,0)</f>
        <v>0</v>
      </c>
      <c r="AS321" s="125">
        <f>AH321-(AJ321*AI315)</f>
        <v>3</v>
      </c>
      <c r="AT321" s="119">
        <v>0</v>
      </c>
      <c r="AU321" s="609">
        <f>IF(AU324&lt;=0,0,ROUNDUP(AU324,0))</f>
        <v>3</v>
      </c>
      <c r="AV321" s="129">
        <f>'Rate Tables'!$P$20</f>
        <v>928.2</v>
      </c>
      <c r="AW321" s="136">
        <f>AU321*AV321*F315*AT315</f>
        <v>0</v>
      </c>
      <c r="AX321" s="19"/>
      <c r="AY321" s="19">
        <f>VLOOKUP(B298,'Lookup Tables'!$AK$22:$AM$24,2,0)</f>
        <v>0</v>
      </c>
      <c r="AZ321" s="12"/>
      <c r="BA321" s="307"/>
      <c r="BB321" s="358"/>
      <c r="BC321" s="12"/>
      <c r="BD321" s="285"/>
      <c r="BE321" s="15"/>
    </row>
    <row r="322" spans="1:57" ht="13.5" customHeight="1" x14ac:dyDescent="0.25">
      <c r="A322" s="145"/>
      <c r="B322" s="12"/>
      <c r="C322" s="114"/>
      <c r="D322" s="12"/>
      <c r="E322" s="12"/>
      <c r="F322" s="12"/>
      <c r="G322" s="12"/>
      <c r="H322" s="12"/>
      <c r="I322" s="12">
        <f>G304</f>
        <v>12</v>
      </c>
      <c r="J322" s="125">
        <f>J321</f>
        <v>9</v>
      </c>
      <c r="K322" s="758">
        <f t="shared" ref="K322:K323" si="19">I322-J322</f>
        <v>3</v>
      </c>
      <c r="L322" s="123">
        <f>V322</f>
        <v>0</v>
      </c>
      <c r="M322" s="609">
        <f t="shared" ref="M322:M323" si="20">IF(M325&lt;=0,0,ROUNDUP(M325,0))</f>
        <v>3</v>
      </c>
      <c r="N322" s="161">
        <f>'Rate Tables'!$P$18</f>
        <v>910</v>
      </c>
      <c r="O322" s="136">
        <f>(M322*N322)*F317*M317</f>
        <v>0</v>
      </c>
      <c r="P322" s="12"/>
      <c r="Q322" s="12"/>
      <c r="R322" s="12"/>
      <c r="S322" s="12"/>
      <c r="T322" s="12"/>
      <c r="U322" s="12"/>
      <c r="V322" s="12">
        <f>VLOOKUP((U317*V317),'Lookup Tables'!$E$38:$F$103,2,0)</f>
        <v>0</v>
      </c>
      <c r="W322" s="12">
        <f>K322-(M322*M317)</f>
        <v>3</v>
      </c>
      <c r="X322" s="119">
        <f>AG322</f>
        <v>0</v>
      </c>
      <c r="Y322" s="609">
        <f t="shared" ref="Y322:Y323" si="21">IF(Y325&lt;=0,0,ROUNDUP(Y325,0))</f>
        <v>3</v>
      </c>
      <c r="Z322" s="129">
        <f>'Rate Tables'!$P$19</f>
        <v>910</v>
      </c>
      <c r="AA322" s="136">
        <f>Y322*Z322*F317*V317</f>
        <v>0</v>
      </c>
      <c r="AB322" s="12"/>
      <c r="AC322" s="12"/>
      <c r="AD322" s="12"/>
      <c r="AE322" s="12"/>
      <c r="AF322" s="12"/>
      <c r="AG322" s="12">
        <f>VLOOKUP(AH317,'Lookup Tables'!$E$38:$F$103,2,0)</f>
        <v>0</v>
      </c>
      <c r="AH322" s="125">
        <f>W322-(Y322*V317)</f>
        <v>3</v>
      </c>
      <c r="AI322" s="119">
        <f>AR322</f>
        <v>0</v>
      </c>
      <c r="AJ322" s="609">
        <f t="shared" ref="AJ322:AJ323" si="22">IF(AJ325&lt;=0,0,ROUNDUP(AJ325,0))</f>
        <v>3</v>
      </c>
      <c r="AK322" s="129">
        <f>'Rate Tables'!$P$20</f>
        <v>928.2</v>
      </c>
      <c r="AL322" s="136">
        <f>AJ322*AK322*F317*AI317</f>
        <v>0</v>
      </c>
      <c r="AN322" s="19"/>
      <c r="AO322" s="19"/>
      <c r="AP322" s="19"/>
      <c r="AQ322" s="19"/>
      <c r="AR322" s="12">
        <f>VLOOKUP((AS317*AT317),'Lookup Tables'!$E$38:$F$103,2,0)</f>
        <v>0</v>
      </c>
      <c r="AS322" s="125">
        <f>AH322-(AJ322*AI317)</f>
        <v>3</v>
      </c>
      <c r="AT322" s="119">
        <v>0</v>
      </c>
      <c r="AU322" s="609">
        <f t="shared" ref="AU322:AU323" si="23">IF(AU325&lt;=0,0,ROUNDUP(AU325,0))</f>
        <v>3</v>
      </c>
      <c r="AV322" s="129">
        <f>'Rate Tables'!$P$21</f>
        <v>946.76</v>
      </c>
      <c r="AW322" s="737">
        <f>AU322*AV322*F317*AT317</f>
        <v>0</v>
      </c>
      <c r="AX322" s="19"/>
      <c r="AY322" s="19"/>
      <c r="AZ322" s="12"/>
      <c r="BA322" s="307"/>
      <c r="BB322" s="349"/>
      <c r="BC322" s="12"/>
      <c r="BD322" s="285"/>
      <c r="BE322" s="15"/>
    </row>
    <row r="323" spans="1:57" ht="13.5" customHeight="1" x14ac:dyDescent="0.25">
      <c r="A323" s="145"/>
      <c r="B323" s="12"/>
      <c r="C323" s="114"/>
      <c r="D323" s="12"/>
      <c r="E323" s="12"/>
      <c r="F323" s="12"/>
      <c r="H323" s="12"/>
      <c r="I323" s="12">
        <f>G306</f>
        <v>12</v>
      </c>
      <c r="J323" s="125">
        <f>J322</f>
        <v>9</v>
      </c>
      <c r="K323" s="758">
        <f t="shared" si="19"/>
        <v>3</v>
      </c>
      <c r="L323" s="123">
        <f>V323</f>
        <v>0</v>
      </c>
      <c r="M323" s="609">
        <f t="shared" si="20"/>
        <v>3</v>
      </c>
      <c r="N323" s="161">
        <f>'Rate Tables'!$P$19</f>
        <v>910</v>
      </c>
      <c r="O323" s="136">
        <f>(M323*N323)*F319*M319</f>
        <v>0</v>
      </c>
      <c r="P323" s="12"/>
      <c r="Q323" s="12"/>
      <c r="R323" s="12"/>
      <c r="S323" s="12"/>
      <c r="T323" s="12"/>
      <c r="U323" s="12"/>
      <c r="V323" s="12">
        <f>VLOOKUP((U319*V319),'Lookup Tables'!$E$38:$F$103,2,0)</f>
        <v>0</v>
      </c>
      <c r="W323" s="12">
        <f>K323-(M323*M319)</f>
        <v>3</v>
      </c>
      <c r="X323" s="119">
        <f>AG323</f>
        <v>0</v>
      </c>
      <c r="Y323" s="609">
        <f t="shared" si="21"/>
        <v>3</v>
      </c>
      <c r="Z323" s="129">
        <f>'Rate Tables'!$P$20</f>
        <v>928.2</v>
      </c>
      <c r="AA323" s="736">
        <f>Y323*Z323*F319*V319</f>
        <v>0</v>
      </c>
      <c r="AB323" s="12"/>
      <c r="AC323" s="12"/>
      <c r="AD323" s="12"/>
      <c r="AE323" s="12"/>
      <c r="AF323" s="12"/>
      <c r="AG323" s="12">
        <f>VLOOKUP(AH319,'Lookup Tables'!$E$38:$F$103,2,0)</f>
        <v>0</v>
      </c>
      <c r="AH323" s="125">
        <f>W323-(Y323*V319)</f>
        <v>3</v>
      </c>
      <c r="AI323" s="119">
        <f>AR323</f>
        <v>0</v>
      </c>
      <c r="AJ323" s="609">
        <f t="shared" si="22"/>
        <v>3</v>
      </c>
      <c r="AK323" s="129">
        <f>'Rate Tables'!$P$21</f>
        <v>946.76</v>
      </c>
      <c r="AL323" s="136">
        <f>AJ323*AK323*F319*AI319</f>
        <v>0</v>
      </c>
      <c r="AN323" s="19"/>
      <c r="AO323" s="19"/>
      <c r="AP323" s="19"/>
      <c r="AQ323" s="19"/>
      <c r="AR323" s="12">
        <f>VLOOKUP((AS319*AT319),'Lookup Tables'!$E$38:$F$103,2,0)</f>
        <v>0</v>
      </c>
      <c r="AS323" s="123">
        <f>AH323-(AJ323*AI319)</f>
        <v>3</v>
      </c>
      <c r="AT323" s="119">
        <v>0</v>
      </c>
      <c r="AU323" s="609">
        <f t="shared" si="23"/>
        <v>3</v>
      </c>
      <c r="AV323" s="129">
        <f>'Rate Tables'!$P$22</f>
        <v>965.7</v>
      </c>
      <c r="AW323" s="136">
        <f>AU323*AV323*F319*AT319</f>
        <v>0</v>
      </c>
      <c r="AX323" s="19"/>
      <c r="AY323" s="19"/>
      <c r="AZ323" s="12"/>
      <c r="BA323" s="307"/>
      <c r="BB323" s="349"/>
      <c r="BC323" s="12"/>
      <c r="BD323" s="285"/>
      <c r="BE323" s="15"/>
    </row>
    <row r="324" spans="1:57" ht="13.5" customHeight="1" x14ac:dyDescent="0.25">
      <c r="A324" s="145"/>
      <c r="B324" s="12"/>
      <c r="C324" s="114"/>
      <c r="D324" s="12"/>
      <c r="E324" s="12"/>
      <c r="F324" s="12"/>
      <c r="G324" s="12"/>
      <c r="H324" s="12"/>
      <c r="I324" s="12"/>
      <c r="J324" s="12"/>
      <c r="K324" s="12"/>
      <c r="L324" s="123"/>
      <c r="M324" s="648">
        <f>K321-L321</f>
        <v>3</v>
      </c>
      <c r="N324" s="129"/>
      <c r="O324" s="125"/>
      <c r="P324" s="12"/>
      <c r="Q324" s="12"/>
      <c r="R324" s="12"/>
      <c r="S324" s="12"/>
      <c r="T324" s="12"/>
      <c r="U324" s="12"/>
      <c r="V324" s="12"/>
      <c r="W324" s="12"/>
      <c r="X324" s="119"/>
      <c r="Y324" s="651">
        <f>W321-X321</f>
        <v>3</v>
      </c>
      <c r="Z324" s="129"/>
      <c r="AA324" s="125"/>
      <c r="AB324" s="12"/>
      <c r="AC324" s="12"/>
      <c r="AD324" s="12"/>
      <c r="AE324" s="12"/>
      <c r="AF324" s="12"/>
      <c r="AG324" s="12"/>
      <c r="AH324" s="125"/>
      <c r="AI324" s="119"/>
      <c r="AJ324" s="651">
        <f>AH321-AI321</f>
        <v>3</v>
      </c>
      <c r="AK324" s="129"/>
      <c r="AL324" s="125"/>
      <c r="AN324" s="19"/>
      <c r="AO324" s="19"/>
      <c r="AP324" s="19"/>
      <c r="AQ324" s="19"/>
      <c r="AR324" s="12"/>
      <c r="AS324" s="123"/>
      <c r="AT324" s="119"/>
      <c r="AU324" s="735">
        <f>AS321-AT321</f>
        <v>3</v>
      </c>
      <c r="AV324" s="129"/>
      <c r="AW324" s="125"/>
      <c r="AX324" s="19"/>
      <c r="AY324" s="19"/>
      <c r="AZ324" s="12"/>
      <c r="BA324" s="307"/>
      <c r="BB324" s="349"/>
      <c r="BC324" s="12"/>
      <c r="BD324" s="285"/>
      <c r="BE324" s="15"/>
    </row>
    <row r="325" spans="1:57" ht="13.5" customHeight="1" x14ac:dyDescent="0.25">
      <c r="A325" s="145"/>
      <c r="B325" s="12"/>
      <c r="C325" s="114"/>
      <c r="D325" s="12"/>
      <c r="E325" s="12"/>
      <c r="F325" s="12"/>
      <c r="G325" s="12" t="s">
        <v>584</v>
      </c>
      <c r="H325" s="12"/>
      <c r="I325" s="12"/>
      <c r="J325" s="12"/>
      <c r="K325" s="12"/>
      <c r="L325" s="123"/>
      <c r="M325" s="648">
        <f>K322-L322</f>
        <v>3</v>
      </c>
      <c r="N325" s="129"/>
      <c r="O325" s="125"/>
      <c r="P325" s="12"/>
      <c r="Q325" s="12"/>
      <c r="R325" s="12"/>
      <c r="S325" s="12"/>
      <c r="T325" s="12"/>
      <c r="U325" s="12"/>
      <c r="V325" s="12"/>
      <c r="W325" s="12"/>
      <c r="X325" s="119"/>
      <c r="Y325" s="651">
        <f>W322-X322</f>
        <v>3</v>
      </c>
      <c r="Z325" s="129"/>
      <c r="AA325" s="125"/>
      <c r="AB325" s="12"/>
      <c r="AC325" s="12"/>
      <c r="AD325" s="12"/>
      <c r="AE325" s="12"/>
      <c r="AF325" s="12"/>
      <c r="AG325" s="12"/>
      <c r="AH325" s="125"/>
      <c r="AI325" s="119"/>
      <c r="AJ325" s="651">
        <f>AH322-AI322</f>
        <v>3</v>
      </c>
      <c r="AK325" s="129"/>
      <c r="AL325" s="125"/>
      <c r="AN325" s="19"/>
      <c r="AO325" s="19"/>
      <c r="AP325" s="19"/>
      <c r="AQ325" s="19"/>
      <c r="AR325" s="12"/>
      <c r="AS325" s="123"/>
      <c r="AT325" s="119"/>
      <c r="AU325" s="651">
        <f>AS322-AT322</f>
        <v>3</v>
      </c>
      <c r="AV325" s="129"/>
      <c r="AW325" s="125"/>
      <c r="AX325" s="19"/>
      <c r="AY325" s="19"/>
      <c r="AZ325" s="12"/>
      <c r="BA325" s="307"/>
      <c r="BB325" s="349"/>
      <c r="BC325" s="12"/>
      <c r="BD325" s="285"/>
      <c r="BE325" s="15"/>
    </row>
    <row r="326" spans="1:57" ht="13.5" customHeight="1" x14ac:dyDescent="0.25">
      <c r="A326" s="145"/>
      <c r="B326" s="162"/>
      <c r="C326" s="115">
        <f>(B300*12)*2</f>
        <v>0</v>
      </c>
      <c r="D326" s="115"/>
      <c r="E326" s="126"/>
      <c r="F326" s="126"/>
      <c r="G326" s="12"/>
      <c r="H326" s="12"/>
      <c r="I326" s="12"/>
      <c r="J326" s="12"/>
      <c r="K326" s="12"/>
      <c r="L326" s="12"/>
      <c r="M326" s="649">
        <f>K323-L323</f>
        <v>3</v>
      </c>
      <c r="N326" s="12"/>
      <c r="O326" s="12"/>
      <c r="P326" s="12"/>
      <c r="Q326" s="12"/>
      <c r="R326" s="12"/>
      <c r="S326" s="12"/>
      <c r="T326" s="12"/>
      <c r="U326" s="12"/>
      <c r="V326" s="12"/>
      <c r="W326" s="12"/>
      <c r="X326" s="12"/>
      <c r="Y326" s="651">
        <f>W323-X323</f>
        <v>3</v>
      </c>
      <c r="Z326" s="12"/>
      <c r="AA326" s="12"/>
      <c r="AB326" s="12"/>
      <c r="AC326" s="12"/>
      <c r="AD326" s="12"/>
      <c r="AE326" s="12"/>
      <c r="AF326" s="12"/>
      <c r="AG326" s="12"/>
      <c r="AH326" s="12"/>
      <c r="AI326" s="12"/>
      <c r="AJ326" s="652">
        <f>AH323-AI323</f>
        <v>3</v>
      </c>
      <c r="AK326" s="12"/>
      <c r="AL326" s="12"/>
      <c r="AN326" s="19"/>
      <c r="AO326" s="19"/>
      <c r="AP326" s="19"/>
      <c r="AQ326" s="19"/>
      <c r="AR326" s="12"/>
      <c r="AS326" s="125"/>
      <c r="AT326" s="119"/>
      <c r="AU326" s="652">
        <f>AS323-AT323</f>
        <v>3</v>
      </c>
      <c r="AV326" s="129"/>
      <c r="AW326" s="125"/>
      <c r="AX326" s="12"/>
      <c r="AY326" s="12"/>
      <c r="AZ326" s="12"/>
      <c r="BA326" s="306" t="s">
        <v>413</v>
      </c>
      <c r="BB326" s="348">
        <f>Personnel!O90</f>
        <v>0</v>
      </c>
      <c r="BC326" s="276" t="s">
        <v>416</v>
      </c>
      <c r="BD326" s="285">
        <f>(M328+M330+M332+W328+W330+W332+AI328+AI330+AI332+AT328+AT330+AT332)*AY328</f>
        <v>0</v>
      </c>
      <c r="BE326" s="15"/>
    </row>
    <row r="327" spans="1:57" ht="13.5" customHeight="1" x14ac:dyDescent="0.25">
      <c r="A327" s="145"/>
      <c r="B327" s="12"/>
      <c r="C327" s="117" t="s">
        <v>30</v>
      </c>
      <c r="D327" s="117"/>
      <c r="E327" s="13"/>
      <c r="F327" s="13" t="s">
        <v>42</v>
      </c>
      <c r="G327" s="13" t="s">
        <v>41</v>
      </c>
      <c r="H327" s="65" t="s">
        <v>77</v>
      </c>
      <c r="I327" s="150" t="s">
        <v>50</v>
      </c>
      <c r="J327" s="13" t="s">
        <v>52</v>
      </c>
      <c r="K327" s="13" t="s">
        <v>35</v>
      </c>
      <c r="L327" s="13" t="s">
        <v>82</v>
      </c>
      <c r="M327" s="13" t="s">
        <v>31</v>
      </c>
      <c r="N327" s="13" t="s">
        <v>69</v>
      </c>
      <c r="O327" s="12"/>
      <c r="P327" s="13" t="s">
        <v>72</v>
      </c>
      <c r="Q327" s="65" t="s">
        <v>80</v>
      </c>
      <c r="R327" s="62" t="s">
        <v>81</v>
      </c>
      <c r="S327" s="65" t="s">
        <v>77</v>
      </c>
      <c r="T327" s="674" t="s">
        <v>107</v>
      </c>
      <c r="U327" s="13" t="s">
        <v>53</v>
      </c>
      <c r="V327" s="13" t="s">
        <v>82</v>
      </c>
      <c r="W327" s="13" t="s">
        <v>32</v>
      </c>
      <c r="X327" s="13" t="s">
        <v>69</v>
      </c>
      <c r="Y327" s="12"/>
      <c r="Z327" s="12"/>
      <c r="AA327" s="12"/>
      <c r="AB327" s="13" t="s">
        <v>72</v>
      </c>
      <c r="AC327" s="13" t="s">
        <v>80</v>
      </c>
      <c r="AD327" s="62" t="s">
        <v>81</v>
      </c>
      <c r="AE327" s="65" t="s">
        <v>77</v>
      </c>
      <c r="AF327" s="151" t="s">
        <v>107</v>
      </c>
      <c r="AG327" s="13" t="s">
        <v>78</v>
      </c>
      <c r="AH327" s="13" t="s">
        <v>82</v>
      </c>
      <c r="AI327" s="13" t="s">
        <v>33</v>
      </c>
      <c r="AJ327" s="13" t="s">
        <v>69</v>
      </c>
      <c r="AK327" s="12"/>
      <c r="AL327" s="12"/>
      <c r="AM327" s="13" t="s">
        <v>72</v>
      </c>
      <c r="AN327" s="13" t="s">
        <v>80</v>
      </c>
      <c r="AO327" s="62" t="s">
        <v>81</v>
      </c>
      <c r="AP327" s="65" t="s">
        <v>77</v>
      </c>
      <c r="AQ327" s="151" t="s">
        <v>107</v>
      </c>
      <c r="AR327" s="13" t="s">
        <v>78</v>
      </c>
      <c r="AS327" s="13" t="s">
        <v>82</v>
      </c>
      <c r="AT327" s="13" t="s">
        <v>33</v>
      </c>
      <c r="AU327" s="13" t="s">
        <v>69</v>
      </c>
      <c r="AV327" s="13"/>
      <c r="AW327" s="13"/>
      <c r="AX327" s="13"/>
      <c r="AY327" s="13" t="s">
        <v>159</v>
      </c>
      <c r="AZ327" s="12"/>
      <c r="BA327" s="227"/>
      <c r="BB327" s="12"/>
      <c r="BC327" s="12"/>
      <c r="BD327" s="285"/>
      <c r="BE327" s="15"/>
    </row>
    <row r="328" spans="1:57" ht="13.5" customHeight="1" x14ac:dyDescent="0.25">
      <c r="A328" s="145"/>
      <c r="B328" s="12"/>
      <c r="C328" s="115"/>
      <c r="D328" s="115"/>
      <c r="E328" s="152">
        <f>BB326</f>
        <v>0</v>
      </c>
      <c r="F328" s="19">
        <f>IF($D$4=2022,1,0)</f>
        <v>0</v>
      </c>
      <c r="G328" s="178">
        <f>IF($B336="Yes",$C$5,$I335)</f>
        <v>12</v>
      </c>
      <c r="H328" s="36">
        <f>VLOOKUP(H334,'Lookup Tables'!$A$22:$B$33,2,FALSE)</f>
        <v>3</v>
      </c>
      <c r="I328" s="192">
        <f>VLOOKUP($E$4,'Lookup Tables'!$AB$46:$AN$58,MATCH($H328,'Lookup Tables'!$AB$46:$AN$46),FALSE)</f>
        <v>12</v>
      </c>
      <c r="J328" s="19">
        <f>12-I328</f>
        <v>0</v>
      </c>
      <c r="K328" s="19">
        <f>IF(G328&lt;J328,G328,J328)</f>
        <v>0</v>
      </c>
      <c r="L328" s="195">
        <f>IF(12-I328&gt;=1,1,0)</f>
        <v>0</v>
      </c>
      <c r="M328" s="20">
        <f>((('Rate Tables'!$B109*$E328)*PersonCalcYr2!$K328)*L328)*$F328</f>
        <v>0</v>
      </c>
      <c r="N328" s="8">
        <f>G328-(J328*L328)</f>
        <v>12</v>
      </c>
      <c r="O328" s="12"/>
      <c r="P328" s="8">
        <f>IF(N328&lt;0,N328*0,1)*N328</f>
        <v>12</v>
      </c>
      <c r="Q328" s="120">
        <f>VLOOKUP($H334,'Lookup Tables'!$A$22:$B$33,2,FALSE)+(K328*L328)</f>
        <v>3</v>
      </c>
      <c r="R328" s="121" t="str">
        <f>VLOOKUP(Q328,'Lookup Tables'!$A$38:$B$151,2,FALSE)</f>
        <v>Sept</v>
      </c>
      <c r="S328" s="36">
        <f>VLOOKUP(R328,'Lookup Tables'!$A$22:$B$33,2,FALSE)</f>
        <v>3</v>
      </c>
      <c r="T328" s="672">
        <f>VLOOKUP($E$4,'Lookup Tables'!$AQ$46:$BC$58,MATCH(PersonCalcYr2!$S328,'Lookup Tables'!$AQ$46:$BC$46),FALSE)</f>
        <v>10</v>
      </c>
      <c r="U328" s="19">
        <f>IF(P328&lt;T328,P328,T328)</f>
        <v>10</v>
      </c>
      <c r="V328" s="119">
        <f>IF((U328)&lt;=0,0,1)</f>
        <v>1</v>
      </c>
      <c r="W328" s="20">
        <f>(('Rate Tables'!$C109*$E328)*PersonCalcYr2!$U328)*$V328*$F328</f>
        <v>0</v>
      </c>
      <c r="X328" s="8">
        <f>P328-(U328*V328)</f>
        <v>2</v>
      </c>
      <c r="Y328" s="12"/>
      <c r="Z328" s="12"/>
      <c r="AA328" s="12"/>
      <c r="AB328" s="19">
        <f>X328</f>
        <v>2</v>
      </c>
      <c r="AC328" s="123">
        <f>AC302</f>
        <v>13</v>
      </c>
      <c r="AD328" s="121" t="str">
        <f>VLOOKUP(AC328,'Lookup Tables'!$A$38:$B$151,2,FALSE)</f>
        <v>July</v>
      </c>
      <c r="AE328" s="36">
        <f>VLOOKUP(AD328,'Lookup Tables'!$A$22:$B$33,2,FALSE)</f>
        <v>1</v>
      </c>
      <c r="AF328" s="87">
        <f>VLOOKUP($AE328,'Lookup Tables'!$AC$3:$AW$16,MATCH(PersonCalcYr2!$AB328,'Lookup Tables'!$AC$3:$AW$3),FALSE)</f>
        <v>2</v>
      </c>
      <c r="AG328" s="19">
        <f>IF(AB328&lt;AF328,AB328,AF328)</f>
        <v>2</v>
      </c>
      <c r="AH328" s="119">
        <f>IF((AG328)&lt;=0,0,1)</f>
        <v>1</v>
      </c>
      <c r="AI328" s="20">
        <f>(('Rate Tables'!$D109*$E328)*PersonCalcYr2!AG328)*AH328*$F328</f>
        <v>0</v>
      </c>
      <c r="AJ328" s="8">
        <f>AB328-(AG328*AH328)</f>
        <v>0</v>
      </c>
      <c r="AK328" s="12"/>
      <c r="AL328" s="12"/>
      <c r="AM328" s="19">
        <f>AJ328</f>
        <v>0</v>
      </c>
      <c r="AN328" s="123">
        <f>AN302</f>
        <v>3</v>
      </c>
      <c r="AO328" s="121" t="str">
        <f>VLOOKUP(AN328,'Lookup Tables'!$A$38:$B$151,2,FALSE)</f>
        <v>Sept</v>
      </c>
      <c r="AP328" s="36">
        <f>VLOOKUP(AO328,'Lookup Tables'!$A$22:$B$33,2,FALSE)</f>
        <v>3</v>
      </c>
      <c r="AQ328" s="87">
        <f>VLOOKUP($AP328,'Lookup Tables'!$AC$3:$AW$16,MATCH(PersonCalcYr2!$AM328,'Lookup Tables'!$AC$3:$AW$3),FALSE)</f>
        <v>0</v>
      </c>
      <c r="AR328" s="19">
        <f>IF(AM328&lt;AQ328,AM328,AQ328)</f>
        <v>0</v>
      </c>
      <c r="AS328" s="119">
        <f>IF((AR328)&lt;=0,0,1)</f>
        <v>0</v>
      </c>
      <c r="AT328" s="20">
        <f>(('Rate Tables'!$E109*$E328)*PersonCalcYr2!AR328)*AS328*$F328</f>
        <v>0</v>
      </c>
      <c r="AU328" s="8">
        <f>AM328-(AR328*AS328)</f>
        <v>0</v>
      </c>
      <c r="AV328" s="19"/>
      <c r="AW328" s="19"/>
      <c r="AX328" s="19"/>
      <c r="AY328" s="19">
        <f>VLOOKUP(B298,'Lookup Tables'!$AK$22:$AM$24,3,0)</f>
        <v>1</v>
      </c>
      <c r="AZ328" s="12"/>
      <c r="BA328" s="227"/>
      <c r="BB328" s="12"/>
      <c r="BC328" s="276" t="s">
        <v>188</v>
      </c>
      <c r="BD328" s="285">
        <f>BD326*'Rate Tables'!P$8</f>
        <v>0</v>
      </c>
      <c r="BE328" s="15"/>
    </row>
    <row r="329" spans="1:57" ht="13.5" customHeight="1" x14ac:dyDescent="0.25">
      <c r="A329" s="145"/>
      <c r="B329" s="12"/>
      <c r="C329" s="117" t="s">
        <v>597</v>
      </c>
      <c r="D329" s="117"/>
      <c r="E329" s="13"/>
      <c r="F329" s="13" t="s">
        <v>42</v>
      </c>
      <c r="G329" s="13" t="s">
        <v>41</v>
      </c>
      <c r="H329" s="65" t="s">
        <v>77</v>
      </c>
      <c r="I329" s="150" t="s">
        <v>51</v>
      </c>
      <c r="J329" s="13" t="s">
        <v>110</v>
      </c>
      <c r="K329" s="13" t="s">
        <v>53</v>
      </c>
      <c r="L329" s="13" t="s">
        <v>82</v>
      </c>
      <c r="M329" s="13" t="s">
        <v>32</v>
      </c>
      <c r="N329" s="13" t="s">
        <v>69</v>
      </c>
      <c r="O329" s="12"/>
      <c r="P329" s="13" t="s">
        <v>72</v>
      </c>
      <c r="Q329" s="65" t="s">
        <v>80</v>
      </c>
      <c r="R329" s="62" t="s">
        <v>81</v>
      </c>
      <c r="S329" s="65" t="s">
        <v>77</v>
      </c>
      <c r="T329" s="674" t="s">
        <v>107</v>
      </c>
      <c r="U329" s="13" t="s">
        <v>78</v>
      </c>
      <c r="V329" s="13" t="s">
        <v>82</v>
      </c>
      <c r="W329" s="13" t="s">
        <v>33</v>
      </c>
      <c r="X329" s="13" t="s">
        <v>69</v>
      </c>
      <c r="Y329" s="12"/>
      <c r="Z329" s="12"/>
      <c r="AA329" s="12"/>
      <c r="AB329" s="13" t="s">
        <v>72</v>
      </c>
      <c r="AC329" s="13" t="s">
        <v>80</v>
      </c>
      <c r="AD329" s="62" t="s">
        <v>81</v>
      </c>
      <c r="AE329" s="65" t="s">
        <v>77</v>
      </c>
      <c r="AF329" s="151" t="s">
        <v>107</v>
      </c>
      <c r="AG329" s="13" t="s">
        <v>79</v>
      </c>
      <c r="AH329" s="13" t="s">
        <v>82</v>
      </c>
      <c r="AI329" s="13" t="s">
        <v>34</v>
      </c>
      <c r="AJ329" s="13" t="s">
        <v>69</v>
      </c>
      <c r="AK329" s="12"/>
      <c r="AL329" s="12"/>
      <c r="AM329" s="13" t="s">
        <v>72</v>
      </c>
      <c r="AN329" s="13" t="s">
        <v>80</v>
      </c>
      <c r="AO329" s="62" t="s">
        <v>81</v>
      </c>
      <c r="AP329" s="65" t="s">
        <v>77</v>
      </c>
      <c r="AQ329" s="151" t="s">
        <v>107</v>
      </c>
      <c r="AR329" s="13" t="s">
        <v>79</v>
      </c>
      <c r="AS329" s="13" t="s">
        <v>82</v>
      </c>
      <c r="AT329" s="13" t="s">
        <v>34</v>
      </c>
      <c r="AU329" s="13" t="s">
        <v>69</v>
      </c>
      <c r="AV329" s="13"/>
      <c r="AW329" s="13"/>
      <c r="AX329" s="13"/>
      <c r="AY329" s="13"/>
      <c r="AZ329" s="12"/>
      <c r="BA329" s="311"/>
      <c r="BB329" s="12"/>
      <c r="BC329" s="12"/>
      <c r="BD329" s="285"/>
      <c r="BE329" s="15"/>
    </row>
    <row r="330" spans="1:57" ht="13.5" customHeight="1" x14ac:dyDescent="0.25">
      <c r="A330" s="145"/>
      <c r="B330" s="12"/>
      <c r="C330" s="115"/>
      <c r="D330" s="115"/>
      <c r="E330" s="152">
        <f>BB326</f>
        <v>0</v>
      </c>
      <c r="F330" s="19">
        <f>IF($D$4=2023,1,0)</f>
        <v>1</v>
      </c>
      <c r="G330" s="178">
        <f>IF($B336="Yes",$C$5,$I335)</f>
        <v>12</v>
      </c>
      <c r="H330" s="36">
        <f>VLOOKUP(H334,'Lookup Tables'!$A$22:$B$33,2,FALSE)</f>
        <v>3</v>
      </c>
      <c r="I330" s="192">
        <f>VLOOKUP($E$4,'Lookup Tables'!$AB$46:$AN$58,MATCH($H330,'Lookup Tables'!$AB$46:$AN$46),FALSE)</f>
        <v>12</v>
      </c>
      <c r="J330" s="19">
        <f>12-I330</f>
        <v>0</v>
      </c>
      <c r="K330" s="19">
        <f>IF(G330&lt;J330,G330,J330)</f>
        <v>0</v>
      </c>
      <c r="L330" s="195">
        <f>IF(12-I330&gt;=1,1,0)</f>
        <v>0</v>
      </c>
      <c r="M330" s="20">
        <f>((('Rate Tables'!$C109*$E330)*PersonCalcYr2!$K330)*L330)*$F330</f>
        <v>0</v>
      </c>
      <c r="N330" s="8">
        <f>G330-(J330*L330)</f>
        <v>12</v>
      </c>
      <c r="O330" s="12"/>
      <c r="P330" s="8">
        <f>IF(N330&lt;0,N330*0,1)*N330</f>
        <v>12</v>
      </c>
      <c r="Q330" s="120">
        <f>VLOOKUP($H334,'Lookup Tables'!$A$22:$B$33,2,FALSE)+(K330*L330)</f>
        <v>3</v>
      </c>
      <c r="R330" s="121" t="str">
        <f>VLOOKUP(Q330,'Lookup Tables'!$A$38:$B$151,2,FALSE)</f>
        <v>Sept</v>
      </c>
      <c r="S330" s="36">
        <f>VLOOKUP(R330,'Lookup Tables'!$A$22:$B$33,2,FALSE)</f>
        <v>3</v>
      </c>
      <c r="T330" s="672">
        <f>VLOOKUP($E$4,'Lookup Tables'!$AQ$46:$BC$58,MATCH(PersonCalcYr2!$S330,'Lookup Tables'!$AQ$46:$BC$46),FALSE)</f>
        <v>10</v>
      </c>
      <c r="U330" s="19">
        <f>IF(P330&lt;T330,P330,T330)</f>
        <v>10</v>
      </c>
      <c r="V330" s="119">
        <f>IF((U330)&lt;=0,0,1)</f>
        <v>1</v>
      </c>
      <c r="W330" s="20">
        <f>(('Rate Tables'!$D109*$E330)*PersonCalcYr2!$U330)*$V330*$F330</f>
        <v>0</v>
      </c>
      <c r="X330" s="8">
        <f>P330-(U330*V330)</f>
        <v>2</v>
      </c>
      <c r="Y330" s="12"/>
      <c r="Z330" s="12"/>
      <c r="AA330" s="12"/>
      <c r="AB330" s="19">
        <f>X330</f>
        <v>2</v>
      </c>
      <c r="AC330" s="123">
        <f>AC304</f>
        <v>13</v>
      </c>
      <c r="AD330" s="121" t="str">
        <f>VLOOKUP(AC330,'Lookup Tables'!$A$38:$B$151,2,FALSE)</f>
        <v>July</v>
      </c>
      <c r="AE330" s="36">
        <f>VLOOKUP(AD330,'Lookup Tables'!$A$22:$B$33,2,FALSE)</f>
        <v>1</v>
      </c>
      <c r="AF330" s="87">
        <f>VLOOKUP($AE330,'Lookup Tables'!$AC$3:$AW$16,MATCH(PersonCalcYr2!$AB330,'Lookup Tables'!$AC$3:$AW$3),FALSE)</f>
        <v>2</v>
      </c>
      <c r="AG330" s="19">
        <f>IF(AB330&lt;AF330,AB330,AF330)</f>
        <v>2</v>
      </c>
      <c r="AH330" s="119">
        <f>IF((AG330)&lt;=0,0,1)</f>
        <v>1</v>
      </c>
      <c r="AI330" s="20">
        <f>(('Rate Tables'!$E109*$E330)*PersonCalcYr2!AG330)*AH330*$F330</f>
        <v>0</v>
      </c>
      <c r="AJ330" s="8">
        <f>AB330-(AG330*AH330)</f>
        <v>0</v>
      </c>
      <c r="AK330" s="12"/>
      <c r="AL330" s="12"/>
      <c r="AM330" s="19">
        <f>AJ330</f>
        <v>0</v>
      </c>
      <c r="AN330" s="123">
        <f>AN304</f>
        <v>3</v>
      </c>
      <c r="AO330" s="121" t="str">
        <f>VLOOKUP(AN330,'Lookup Tables'!$A$38:$B$151,2,FALSE)</f>
        <v>Sept</v>
      </c>
      <c r="AP330" s="36">
        <f>VLOOKUP(AO330,'Lookup Tables'!$A$22:$B$33,2,FALSE)</f>
        <v>3</v>
      </c>
      <c r="AQ330" s="87">
        <f>VLOOKUP($AP330,'Lookup Tables'!$AC$3:$AW$16,MATCH(PersonCalcYr2!$AM330,'Lookup Tables'!$AC$3:$AW$3),FALSE)</f>
        <v>0</v>
      </c>
      <c r="AR330" s="19">
        <f>IF(AM330&lt;AQ330,AM330,AQ330)</f>
        <v>0</v>
      </c>
      <c r="AS330" s="119">
        <f>IF((AR330)&lt;=0,0,1)</f>
        <v>0</v>
      </c>
      <c r="AT330" s="20">
        <f>(('Rate Tables'!$F109*$E330)*PersonCalcYr2!AR330)*AS330*$F330</f>
        <v>0</v>
      </c>
      <c r="AU330" s="8">
        <f>AM330-(AR330*AS330)</f>
        <v>0</v>
      </c>
      <c r="AV330" s="20"/>
      <c r="AW330" s="20"/>
      <c r="AX330" s="20"/>
      <c r="AY330" s="20"/>
      <c r="AZ330" s="12"/>
      <c r="BA330" s="311"/>
      <c r="BB330" s="349" t="s">
        <v>643</v>
      </c>
      <c r="BC330" s="276" t="s">
        <v>136</v>
      </c>
      <c r="BD330" s="285">
        <f>(((O334+O335+O336+AA334+AA335+AA336+AL334+AL335+AL336+AW334+AW335+AW336)*AY334)*BD331)*BB333</f>
        <v>0</v>
      </c>
      <c r="BE330" s="12" t="s">
        <v>418</v>
      </c>
    </row>
    <row r="331" spans="1:57" ht="13.5" customHeight="1" x14ac:dyDescent="0.25">
      <c r="A331" s="145"/>
      <c r="B331" s="12"/>
      <c r="C331" s="117" t="s">
        <v>664</v>
      </c>
      <c r="D331" s="117"/>
      <c r="E331" s="13"/>
      <c r="F331" s="13" t="s">
        <v>42</v>
      </c>
      <c r="G331" s="13" t="s">
        <v>41</v>
      </c>
      <c r="H331" s="65" t="s">
        <v>77</v>
      </c>
      <c r="I331" s="150" t="s">
        <v>51</v>
      </c>
      <c r="J331" s="13" t="s">
        <v>110</v>
      </c>
      <c r="K331" s="13" t="s">
        <v>53</v>
      </c>
      <c r="L331" s="13" t="s">
        <v>82</v>
      </c>
      <c r="M331" s="13" t="s">
        <v>32</v>
      </c>
      <c r="N331" s="13" t="s">
        <v>69</v>
      </c>
      <c r="O331" s="12"/>
      <c r="P331" s="13" t="s">
        <v>72</v>
      </c>
      <c r="Q331" s="65" t="s">
        <v>80</v>
      </c>
      <c r="R331" s="62" t="s">
        <v>81</v>
      </c>
      <c r="S331" s="65" t="s">
        <v>77</v>
      </c>
      <c r="T331" s="674" t="s">
        <v>107</v>
      </c>
      <c r="U331" s="13" t="s">
        <v>78</v>
      </c>
      <c r="V331" s="13" t="s">
        <v>82</v>
      </c>
      <c r="W331" s="13" t="s">
        <v>33</v>
      </c>
      <c r="X331" s="13" t="s">
        <v>69</v>
      </c>
      <c r="Y331" s="12"/>
      <c r="Z331" s="12"/>
      <c r="AA331" s="12"/>
      <c r="AB331" s="13" t="s">
        <v>72</v>
      </c>
      <c r="AC331" s="13" t="s">
        <v>80</v>
      </c>
      <c r="AD331" s="62" t="s">
        <v>81</v>
      </c>
      <c r="AE331" s="65" t="s">
        <v>77</v>
      </c>
      <c r="AF331" s="151" t="s">
        <v>107</v>
      </c>
      <c r="AG331" s="13" t="s">
        <v>79</v>
      </c>
      <c r="AH331" s="13" t="s">
        <v>82</v>
      </c>
      <c r="AI331" s="13" t="s">
        <v>34</v>
      </c>
      <c r="AJ331" s="13" t="s">
        <v>69</v>
      </c>
      <c r="AK331" s="12"/>
      <c r="AL331" s="12"/>
      <c r="AM331" s="13" t="s">
        <v>72</v>
      </c>
      <c r="AN331" s="13" t="s">
        <v>80</v>
      </c>
      <c r="AO331" s="62" t="s">
        <v>81</v>
      </c>
      <c r="AP331" s="65" t="s">
        <v>77</v>
      </c>
      <c r="AQ331" s="151" t="s">
        <v>107</v>
      </c>
      <c r="AR331" s="13" t="s">
        <v>79</v>
      </c>
      <c r="AS331" s="13" t="s">
        <v>82</v>
      </c>
      <c r="AT331" s="13" t="s">
        <v>34</v>
      </c>
      <c r="AU331" s="13" t="s">
        <v>69</v>
      </c>
      <c r="AV331" s="20"/>
      <c r="AW331" s="20"/>
      <c r="AX331" s="20"/>
      <c r="AY331" s="20"/>
      <c r="AZ331" s="12"/>
      <c r="BA331" s="311"/>
      <c r="BB331" s="350" t="s">
        <v>644</v>
      </c>
      <c r="BC331" s="227" t="s">
        <v>582</v>
      </c>
      <c r="BD331" s="663">
        <f>IF(BD326&gt;0,1,0)</f>
        <v>0</v>
      </c>
      <c r="BE331" s="12"/>
    </row>
    <row r="332" spans="1:57" ht="13.5" customHeight="1" x14ac:dyDescent="0.25">
      <c r="A332" s="145"/>
      <c r="B332" s="12"/>
      <c r="C332" s="115"/>
      <c r="D332" s="115"/>
      <c r="E332" s="152">
        <f>BB326</f>
        <v>0</v>
      </c>
      <c r="F332" s="19">
        <f>IF($D$4=2024,1,0)</f>
        <v>0</v>
      </c>
      <c r="G332" s="178">
        <f>IF($B336="Yes",$C$5,$I335)</f>
        <v>12</v>
      </c>
      <c r="H332" s="36">
        <f>VLOOKUP(H334,'Lookup Tables'!$A$22:$B$33,2,FALSE)</f>
        <v>3</v>
      </c>
      <c r="I332" s="192">
        <f>VLOOKUP($E$4,'Lookup Tables'!$AB$46:$AN$58,MATCH($H332,'Lookup Tables'!$AB$46:$AN$46),FALSE)</f>
        <v>12</v>
      </c>
      <c r="J332" s="19">
        <f>12-I332</f>
        <v>0</v>
      </c>
      <c r="K332" s="19">
        <f>IF(G332&lt;J332,G332,J332)</f>
        <v>0</v>
      </c>
      <c r="L332" s="195">
        <f>IF(12-I332&gt;=1,1,0)</f>
        <v>0</v>
      </c>
      <c r="M332" s="20">
        <f>((('Rate Tables'!$D109*$E332)*PersonCalcYr2!$K332)*L332)*$F332</f>
        <v>0</v>
      </c>
      <c r="N332" s="8">
        <f>G332-(J332*L332)</f>
        <v>12</v>
      </c>
      <c r="O332" s="12"/>
      <c r="P332" s="8">
        <f>IF(N332&lt;0,N332*0,1)*N332</f>
        <v>12</v>
      </c>
      <c r="Q332" s="120">
        <f>VLOOKUP($H334,'Lookup Tables'!$A$22:$B$33,2,FALSE)+(K332*L332)</f>
        <v>3</v>
      </c>
      <c r="R332" s="121" t="str">
        <f>VLOOKUP(Q332,'Lookup Tables'!$A$38:$B$151,2,FALSE)</f>
        <v>Sept</v>
      </c>
      <c r="S332" s="36">
        <f>VLOOKUP(R332,'Lookup Tables'!$A$22:$B$33,2,FALSE)</f>
        <v>3</v>
      </c>
      <c r="T332" s="672">
        <f>VLOOKUP($E$4,'Lookup Tables'!$AQ$46:$BC$58,MATCH(PersonCalcYr2!$S332,'Lookup Tables'!$AQ$46:$BC$46),FALSE)</f>
        <v>10</v>
      </c>
      <c r="U332" s="19">
        <f>IF(P332&lt;T332,P332,T332)</f>
        <v>10</v>
      </c>
      <c r="V332" s="119">
        <f>IF((U332)&lt;=0,0,1)</f>
        <v>1</v>
      </c>
      <c r="W332" s="20">
        <f>(('Rate Tables'!$E109*$E332)*PersonCalcYr2!$U332)*$V332*$F332</f>
        <v>0</v>
      </c>
      <c r="X332" s="8">
        <f>P332-(U332*V332)</f>
        <v>2</v>
      </c>
      <c r="Y332" s="12"/>
      <c r="Z332" s="12"/>
      <c r="AA332" s="12"/>
      <c r="AB332" s="19">
        <f>X332</f>
        <v>2</v>
      </c>
      <c r="AC332" s="123">
        <f>AC306</f>
        <v>13</v>
      </c>
      <c r="AD332" s="121" t="str">
        <f>VLOOKUP(AC332,'Lookup Tables'!$A$38:$B$151,2,FALSE)</f>
        <v>July</v>
      </c>
      <c r="AE332" s="36">
        <f>VLOOKUP(AD332,'Lookup Tables'!$A$22:$B$33,2,FALSE)</f>
        <v>1</v>
      </c>
      <c r="AF332" s="87">
        <f>VLOOKUP($AE332,'Lookup Tables'!$AC$3:$AW$16,MATCH(PersonCalcYr2!$AB332,'Lookup Tables'!$AC$3:$AW$3),FALSE)</f>
        <v>2</v>
      </c>
      <c r="AG332" s="19">
        <f>IF(AB332&lt;AF332,AB332,AF332)</f>
        <v>2</v>
      </c>
      <c r="AH332" s="119">
        <f>IF((AG332)&lt;=0,0,1)</f>
        <v>1</v>
      </c>
      <c r="AI332" s="20">
        <f>(('Rate Tables'!$F109*$E332)*PersonCalcYr2!AG332)*AH332*$F332</f>
        <v>0</v>
      </c>
      <c r="AJ332" s="8">
        <f>AB332-(AG332*AH332)</f>
        <v>0</v>
      </c>
      <c r="AK332" s="12"/>
      <c r="AL332" s="12"/>
      <c r="AM332" s="19">
        <f>AJ332</f>
        <v>0</v>
      </c>
      <c r="AN332" s="123">
        <f>AN306</f>
        <v>3</v>
      </c>
      <c r="AO332" s="121" t="str">
        <f>VLOOKUP(AN332,'Lookup Tables'!$A$38:$B$151,2,FALSE)</f>
        <v>Sept</v>
      </c>
      <c r="AP332" s="36">
        <f>VLOOKUP(AO332,'Lookup Tables'!$A$22:$B$33,2,FALSE)</f>
        <v>3</v>
      </c>
      <c r="AQ332" s="87">
        <f>VLOOKUP($AP332,'Lookup Tables'!$AC$3:$AW$16,MATCH(PersonCalcYr2!$AM332,'Lookup Tables'!$AC$3:$AW$3),FALSE)</f>
        <v>0</v>
      </c>
      <c r="AR332" s="19">
        <f>IF(AM332&lt;AQ332,AM332,AQ332)</f>
        <v>0</v>
      </c>
      <c r="AS332" s="119">
        <f>IF((AR332)&lt;=0,0,1)</f>
        <v>0</v>
      </c>
      <c r="AT332" s="20">
        <f>(('Rate Tables'!$G109*$E332)*PersonCalcYr2!AR332)*AS332*$F332</f>
        <v>0</v>
      </c>
      <c r="AU332" s="8">
        <f>AM332-(AR332*AS332)</f>
        <v>0</v>
      </c>
      <c r="AV332" s="20"/>
      <c r="AW332" s="20"/>
      <c r="AX332" s="20"/>
      <c r="AY332" s="20"/>
      <c r="AZ332" s="12"/>
      <c r="BA332" s="311"/>
      <c r="BB332" s="358" t="str">
        <f>IF(BB326=50%,"no",Personnel!O94)</f>
        <v>No</v>
      </c>
      <c r="BC332" s="276"/>
      <c r="BD332" s="285"/>
      <c r="BE332" s="12"/>
    </row>
    <row r="333" spans="1:57" ht="13.5" customHeight="1" x14ac:dyDescent="0.25">
      <c r="A333" s="145"/>
      <c r="B333" s="12" t="s">
        <v>127</v>
      </c>
      <c r="C333" s="12"/>
      <c r="D333" s="12"/>
      <c r="E333" s="12"/>
      <c r="F333" s="12"/>
      <c r="G333" s="12"/>
      <c r="H333" s="12"/>
      <c r="I333" s="12"/>
      <c r="J333" s="12"/>
      <c r="K333" s="12"/>
      <c r="L333" s="13"/>
      <c r="M333" s="13" t="s">
        <v>129</v>
      </c>
      <c r="N333" s="13" t="s">
        <v>128</v>
      </c>
      <c r="O333" s="153" t="s">
        <v>130</v>
      </c>
      <c r="P333" s="12"/>
      <c r="Q333" s="12"/>
      <c r="R333" s="12"/>
      <c r="S333" s="12"/>
      <c r="T333" s="12"/>
      <c r="U333" s="12"/>
      <c r="V333" s="12"/>
      <c r="W333" s="12"/>
      <c r="X333" s="12"/>
      <c r="Y333" s="13" t="s">
        <v>129</v>
      </c>
      <c r="Z333" s="13" t="s">
        <v>128</v>
      </c>
      <c r="AA333" s="153" t="s">
        <v>130</v>
      </c>
      <c r="AB333" s="12"/>
      <c r="AC333" s="12"/>
      <c r="AD333" s="12"/>
      <c r="AE333" s="12"/>
      <c r="AF333" s="12"/>
      <c r="AG333" s="12"/>
      <c r="AH333" s="12"/>
      <c r="AI333" s="12"/>
      <c r="AJ333" s="13" t="s">
        <v>129</v>
      </c>
      <c r="AK333" s="13" t="s">
        <v>128</v>
      </c>
      <c r="AL333" s="153" t="s">
        <v>130</v>
      </c>
      <c r="AN333" s="12"/>
      <c r="AO333" s="12"/>
      <c r="AP333" s="12"/>
      <c r="AQ333" s="12"/>
      <c r="AR333" s="12"/>
      <c r="AS333" s="12"/>
      <c r="AT333" s="12"/>
      <c r="AU333" s="13" t="s">
        <v>129</v>
      </c>
      <c r="AV333" s="13" t="s">
        <v>128</v>
      </c>
      <c r="AW333" s="153" t="s">
        <v>130</v>
      </c>
      <c r="AX333" s="13"/>
      <c r="AY333" s="13" t="s">
        <v>159</v>
      </c>
      <c r="AZ333" s="12"/>
      <c r="BA333" s="227"/>
      <c r="BB333" s="349">
        <f>IF(BB332="yes",0.5,1)</f>
        <v>1</v>
      </c>
      <c r="BC333" s="12"/>
      <c r="BD333" s="285"/>
      <c r="BE333" s="372">
        <f>VLOOKUP('F&amp;ARatesCalc'!$B$1,'F&amp;ARatesCalc'!$A$3:$B$5,2,FALSE)</f>
        <v>0.56999999999999995</v>
      </c>
    </row>
    <row r="334" spans="1:57" ht="13.5" customHeight="1" x14ac:dyDescent="0.25">
      <c r="A334" s="145"/>
      <c r="B334" s="12"/>
      <c r="C334" s="12"/>
      <c r="D334" s="12"/>
      <c r="E334" s="12"/>
      <c r="F334" s="12"/>
      <c r="G334" s="178" t="s">
        <v>430</v>
      </c>
      <c r="H334" s="178" t="str">
        <f>IF(B336="yes",$C$4,A338)</f>
        <v>Sept</v>
      </c>
      <c r="I334" s="12"/>
      <c r="J334" s="12"/>
      <c r="K334" s="12"/>
      <c r="L334" s="12"/>
      <c r="M334" s="129">
        <f>'Rate Tables'!$P$17</f>
        <v>910</v>
      </c>
      <c r="N334" s="146">
        <f>(K328*L328)*F328</f>
        <v>0</v>
      </c>
      <c r="O334" s="154">
        <f>M334*N334</f>
        <v>0</v>
      </c>
      <c r="P334" s="12"/>
      <c r="Q334" s="12"/>
      <c r="R334" s="12"/>
      <c r="S334" s="12"/>
      <c r="T334" s="12"/>
      <c r="U334" s="12"/>
      <c r="V334" s="12"/>
      <c r="W334" s="12"/>
      <c r="X334" s="12"/>
      <c r="Y334" s="129">
        <f>'Rate Tables'!$P$18</f>
        <v>910</v>
      </c>
      <c r="Z334" s="146">
        <f>U328*V328*F328</f>
        <v>0</v>
      </c>
      <c r="AA334" s="125">
        <f>Y334*Z334</f>
        <v>0</v>
      </c>
      <c r="AB334" s="12"/>
      <c r="AC334" s="12"/>
      <c r="AD334" s="12"/>
      <c r="AE334" s="12"/>
      <c r="AF334" s="12"/>
      <c r="AG334" s="12"/>
      <c r="AH334" s="12"/>
      <c r="AI334" s="12"/>
      <c r="AJ334" s="129">
        <f>'Rate Tables'!$P$19</f>
        <v>910</v>
      </c>
      <c r="AK334" s="146">
        <f>AG328*AH328*F328</f>
        <v>0</v>
      </c>
      <c r="AL334" s="125">
        <f>AJ334*AK334</f>
        <v>0</v>
      </c>
      <c r="AN334" s="12"/>
      <c r="AO334" s="12"/>
      <c r="AP334" s="12"/>
      <c r="AQ334" s="12"/>
      <c r="AR334" s="12"/>
      <c r="AS334" s="12"/>
      <c r="AT334" s="12"/>
      <c r="AU334" s="129">
        <f>'Rate Tables'!$P$20</f>
        <v>928.2</v>
      </c>
      <c r="AV334" s="146">
        <f>AR328*AS328*F328</f>
        <v>0</v>
      </c>
      <c r="AW334" s="125">
        <f>AU334*AV334</f>
        <v>0</v>
      </c>
      <c r="AX334" s="19"/>
      <c r="AY334" s="19">
        <f>VLOOKUP(B298,'Lookup Tables'!$AK$22:$AM$24,3,0)</f>
        <v>1</v>
      </c>
      <c r="AZ334" s="12"/>
      <c r="BA334" s="307"/>
      <c r="BB334" s="125"/>
      <c r="BC334" s="12"/>
      <c r="BD334" s="285"/>
      <c r="BE334" s="12" t="s">
        <v>417</v>
      </c>
    </row>
    <row r="335" spans="1:57" ht="13.5" customHeight="1" x14ac:dyDescent="0.25">
      <c r="A335" s="145"/>
      <c r="B335" s="12"/>
      <c r="C335" s="12"/>
      <c r="D335" s="12"/>
      <c r="E335" s="12"/>
      <c r="F335" s="12"/>
      <c r="G335" s="491" t="s">
        <v>555</v>
      </c>
      <c r="H335" s="11">
        <f>IF(H338&lt;$C$5,H338,$C$5)</f>
        <v>12</v>
      </c>
      <c r="I335" s="178">
        <f>IF(B338&lt;=H338,B338,H338)</f>
        <v>0</v>
      </c>
      <c r="J335" s="12"/>
      <c r="K335" s="12"/>
      <c r="L335" s="12"/>
      <c r="M335" s="129">
        <f>'Rate Tables'!$P$18</f>
        <v>910</v>
      </c>
      <c r="N335" s="146">
        <f>K330*L330*F330</f>
        <v>0</v>
      </c>
      <c r="O335" s="154">
        <f>M335*N335</f>
        <v>0</v>
      </c>
      <c r="P335" s="12"/>
      <c r="Q335" s="12"/>
      <c r="R335" s="12"/>
      <c r="S335" s="12"/>
      <c r="T335" s="12"/>
      <c r="U335" s="12"/>
      <c r="V335" s="12"/>
      <c r="W335" s="12"/>
      <c r="X335" s="12"/>
      <c r="Y335" s="129">
        <f>'Rate Tables'!$P$19</f>
        <v>910</v>
      </c>
      <c r="Z335" s="146">
        <f>U330*V330*F330</f>
        <v>10</v>
      </c>
      <c r="AA335" s="125">
        <f>Y335*Z335</f>
        <v>9100</v>
      </c>
      <c r="AB335" s="12"/>
      <c r="AC335" s="12"/>
      <c r="AD335" s="12"/>
      <c r="AE335" s="12"/>
      <c r="AF335" s="12"/>
      <c r="AG335" s="12"/>
      <c r="AH335" s="12"/>
      <c r="AI335" s="12"/>
      <c r="AJ335" s="129">
        <f>'Rate Tables'!$P$20</f>
        <v>928.2</v>
      </c>
      <c r="AK335" s="146">
        <f>AG330*AH330*F330</f>
        <v>2</v>
      </c>
      <c r="AL335" s="125">
        <f>AJ335*AK335</f>
        <v>1856.4</v>
      </c>
      <c r="AN335" s="12"/>
      <c r="AO335" s="12"/>
      <c r="AP335" s="12"/>
      <c r="AQ335" s="12"/>
      <c r="AR335" s="12"/>
      <c r="AS335" s="12"/>
      <c r="AT335" s="12"/>
      <c r="AU335" s="129">
        <f>'Rate Tables'!$P$21</f>
        <v>946.76</v>
      </c>
      <c r="AV335" s="146">
        <f>AR330*AS330*F330</f>
        <v>0</v>
      </c>
      <c r="AW335" s="125">
        <f>AU335*AV335</f>
        <v>0</v>
      </c>
      <c r="AX335" s="12"/>
      <c r="AY335" s="12" t="s">
        <v>244</v>
      </c>
      <c r="AZ335" s="12"/>
      <c r="BA335" s="307"/>
      <c r="BB335" s="12"/>
      <c r="BC335" s="12"/>
      <c r="BD335" s="285"/>
      <c r="BE335" s="12">
        <f>(BD336+BD337)*BE333</f>
        <v>0</v>
      </c>
    </row>
    <row r="336" spans="1:57" ht="13.5" customHeight="1" x14ac:dyDescent="0.25">
      <c r="A336" s="377" t="s">
        <v>431</v>
      </c>
      <c r="B336" s="375" t="str">
        <f>Personnel!M90</f>
        <v>YES</v>
      </c>
      <c r="C336" s="12"/>
      <c r="D336" s="12"/>
      <c r="E336" s="12"/>
      <c r="F336" s="12"/>
      <c r="G336" s="491" t="s">
        <v>559</v>
      </c>
      <c r="H336" s="12">
        <f>BA315</f>
        <v>0</v>
      </c>
      <c r="I336" s="12"/>
      <c r="J336" s="12"/>
      <c r="K336" s="12"/>
      <c r="L336" s="12"/>
      <c r="M336" s="129">
        <f>'Rate Tables'!$P$19</f>
        <v>910</v>
      </c>
      <c r="N336" s="146">
        <f>K332*L332*F332</f>
        <v>0</v>
      </c>
      <c r="O336" s="154">
        <f>M336*N336</f>
        <v>0</v>
      </c>
      <c r="P336" s="12"/>
      <c r="Q336" s="12"/>
      <c r="R336" s="12"/>
      <c r="S336" s="12"/>
      <c r="T336" s="12"/>
      <c r="U336" s="12"/>
      <c r="V336" s="12"/>
      <c r="W336" s="12"/>
      <c r="X336" s="12"/>
      <c r="Y336" s="129">
        <f>'Rate Tables'!$P$20</f>
        <v>928.2</v>
      </c>
      <c r="Z336" s="146">
        <f>U332*V332*F332</f>
        <v>0</v>
      </c>
      <c r="AA336" s="125">
        <f>Y336*Z336</f>
        <v>0</v>
      </c>
      <c r="AB336" s="12"/>
      <c r="AC336" s="12"/>
      <c r="AD336" s="12"/>
      <c r="AE336" s="12"/>
      <c r="AF336" s="12"/>
      <c r="AG336" s="12"/>
      <c r="AH336" s="12"/>
      <c r="AI336" s="12"/>
      <c r="AJ336" s="129">
        <f>'Rate Tables'!$P$21</f>
        <v>946.76</v>
      </c>
      <c r="AK336" s="146">
        <f>AG332*AH332*F332</f>
        <v>0</v>
      </c>
      <c r="AL336" s="125">
        <f>AJ336*AK336</f>
        <v>0</v>
      </c>
      <c r="AN336" s="12"/>
      <c r="AO336" s="12"/>
      <c r="AP336" s="12"/>
      <c r="AQ336" s="12"/>
      <c r="AR336" s="12"/>
      <c r="AS336" s="12"/>
      <c r="AT336" s="12"/>
      <c r="AU336" s="129">
        <f>'Rate Tables'!$P$22</f>
        <v>965.7</v>
      </c>
      <c r="AV336" s="146">
        <f>AR332*AS332*F332</f>
        <v>0</v>
      </c>
      <c r="AW336" s="125">
        <f>AU336*AV336</f>
        <v>0</v>
      </c>
      <c r="AX336" s="12"/>
      <c r="AY336" s="12">
        <f>IF(BD336&gt;=1,1,0)</f>
        <v>0</v>
      </c>
      <c r="AZ336" s="12"/>
      <c r="BA336" s="227"/>
      <c r="BB336" s="226"/>
      <c r="BC336" s="278" t="s">
        <v>96</v>
      </c>
      <c r="BD336" s="285">
        <f>BD300+BD313+BD326</f>
        <v>0</v>
      </c>
      <c r="BE336" s="15"/>
    </row>
    <row r="337" spans="1:57" ht="13.5" customHeight="1" thickBot="1" x14ac:dyDescent="0.3">
      <c r="A337" s="296" t="s">
        <v>439</v>
      </c>
      <c r="B337" s="114" t="s">
        <v>427</v>
      </c>
      <c r="C337" s="12"/>
      <c r="D337" s="12"/>
      <c r="E337" s="12"/>
      <c r="F337" s="12"/>
      <c r="G337" s="491" t="s">
        <v>560</v>
      </c>
      <c r="H337" s="178">
        <f>VLOOKUP(H328,'Lookup Tables'!$L$62:$Y$74,MATCH(G328,'Lookup Tables'!$L$62:$Y$62,FALSE))</f>
        <v>65</v>
      </c>
      <c r="I337" s="12"/>
      <c r="J337" s="12"/>
      <c r="K337" s="12"/>
      <c r="L337" s="12"/>
      <c r="M337" s="12"/>
      <c r="N337" s="12"/>
      <c r="O337" s="155"/>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227"/>
      <c r="BB337" s="224"/>
      <c r="BC337" s="278" t="s">
        <v>415</v>
      </c>
      <c r="BD337" s="285">
        <f>BD302+BD314+BD328</f>
        <v>0</v>
      </c>
      <c r="BE337" s="15"/>
    </row>
    <row r="338" spans="1:57" ht="13.5" customHeight="1" thickBot="1" x14ac:dyDescent="0.3">
      <c r="A338" s="380">
        <f>Personnel!M91</f>
        <v>0</v>
      </c>
      <c r="B338" s="273">
        <f>Personnel!M92</f>
        <v>0</v>
      </c>
      <c r="C338" s="12"/>
      <c r="D338" s="12"/>
      <c r="E338" s="12"/>
      <c r="F338" s="12"/>
      <c r="G338" s="12"/>
      <c r="H338" s="175">
        <f>VLOOKUP($E$4,'Lookup Tables'!$L$46:$AA$58,MATCH($H$302,'Lookup Tables'!$L$46:$X$46),FALSE)</f>
        <v>12</v>
      </c>
      <c r="I338" s="12"/>
      <c r="J338" s="12"/>
      <c r="K338" s="12"/>
      <c r="L338" s="12"/>
      <c r="M338" s="12"/>
      <c r="N338" s="12"/>
      <c r="O338" s="155"/>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227"/>
      <c r="BB338" s="224"/>
      <c r="BC338" s="278" t="s">
        <v>185</v>
      </c>
      <c r="BD338" s="285">
        <f>(BD304+BD316+BD330)*AY336</f>
        <v>0</v>
      </c>
      <c r="BE338" s="373">
        <f>BD336+BD337+BD338+BE335</f>
        <v>0</v>
      </c>
    </row>
    <row r="339" spans="1:57" ht="6" customHeight="1" thickBot="1" x14ac:dyDescent="0.3">
      <c r="A339" s="148"/>
      <c r="B339" s="149"/>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49"/>
      <c r="AL339" s="149"/>
      <c r="AM339" s="149"/>
      <c r="AN339" s="149"/>
      <c r="AO339" s="149"/>
      <c r="AP339" s="149"/>
      <c r="AQ339" s="149"/>
      <c r="AR339" s="149"/>
      <c r="AS339" s="149"/>
      <c r="AT339" s="149"/>
      <c r="AU339" s="149"/>
      <c r="AV339" s="149"/>
      <c r="AW339" s="149"/>
      <c r="AX339" s="149"/>
      <c r="AY339" s="149"/>
      <c r="AZ339" s="149"/>
      <c r="BA339" s="280"/>
      <c r="BB339" s="149"/>
      <c r="BC339" s="149"/>
      <c r="BD339" s="281"/>
      <c r="BE339" s="374"/>
    </row>
    <row r="340" spans="1:57" ht="13.5" customHeight="1" x14ac:dyDescent="0.25">
      <c r="A340" s="257" t="s">
        <v>198</v>
      </c>
      <c r="B340" s="359" t="str">
        <f>Personnel!C98</f>
        <v>12 Month</v>
      </c>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4"/>
      <c r="AL340" s="144"/>
      <c r="AM340" s="144"/>
      <c r="AN340" s="144"/>
      <c r="AO340" s="144"/>
      <c r="AP340" s="144"/>
      <c r="AQ340" s="144"/>
      <c r="AR340" s="144"/>
      <c r="AS340" s="144"/>
      <c r="AT340" s="144"/>
      <c r="AU340" s="144"/>
      <c r="AV340" s="144"/>
      <c r="AW340" s="144"/>
      <c r="AX340" s="144"/>
      <c r="AY340" s="144"/>
      <c r="AZ340" s="144"/>
      <c r="BA340" s="282"/>
      <c r="BB340" s="144"/>
      <c r="BC340" s="144"/>
      <c r="BD340" s="283"/>
      <c r="BE340" s="12"/>
    </row>
    <row r="341" spans="1:57" ht="13.5" customHeight="1" x14ac:dyDescent="0.25">
      <c r="A341" s="258" t="s">
        <v>174</v>
      </c>
      <c r="B341" s="155" t="s">
        <v>12</v>
      </c>
      <c r="C341" s="259" t="s">
        <v>605</v>
      </c>
      <c r="D341" s="12"/>
      <c r="E341" s="12"/>
      <c r="F341" s="12"/>
      <c r="G341" s="12" t="s">
        <v>182</v>
      </c>
      <c r="H341" s="12"/>
      <c r="I341" s="12"/>
      <c r="J341" s="12"/>
      <c r="K341" s="12"/>
      <c r="L341" s="12"/>
      <c r="M341" s="12" t="s">
        <v>167</v>
      </c>
      <c r="N341" s="12"/>
      <c r="O341" s="12">
        <v>21</v>
      </c>
      <c r="P341" s="12"/>
      <c r="Q341" s="12"/>
      <c r="R341" s="12"/>
      <c r="S341" s="12"/>
      <c r="T341" s="12"/>
      <c r="U341" s="12"/>
      <c r="V341" s="12"/>
      <c r="W341" s="12"/>
      <c r="X341" s="12"/>
      <c r="Y341" s="12" t="s">
        <v>168</v>
      </c>
      <c r="Z341" s="12"/>
      <c r="AA341" s="12">
        <v>22</v>
      </c>
      <c r="AB341" s="12"/>
      <c r="AC341" s="12"/>
      <c r="AD341" s="12"/>
      <c r="AE341" s="12"/>
      <c r="AF341" s="12"/>
      <c r="AG341" s="12"/>
      <c r="AH341" s="12"/>
      <c r="AI341" s="12"/>
      <c r="AJ341" s="12" t="s">
        <v>169</v>
      </c>
      <c r="AK341" s="12"/>
      <c r="AL341" s="12">
        <v>23</v>
      </c>
      <c r="AM341" s="12"/>
      <c r="AN341" s="12"/>
      <c r="AO341" s="12"/>
      <c r="AP341" s="12"/>
      <c r="AQ341" s="12"/>
      <c r="AR341" s="12"/>
      <c r="AS341" s="12"/>
      <c r="AT341" s="12"/>
      <c r="AU341" s="12"/>
      <c r="AV341" s="12"/>
      <c r="AW341" s="12"/>
      <c r="AX341" s="12"/>
      <c r="AY341" s="12"/>
      <c r="AZ341" s="12"/>
      <c r="BA341" s="227"/>
      <c r="BB341" s="12"/>
      <c r="BC341" s="12"/>
      <c r="BD341" s="275"/>
      <c r="BE341" s="12"/>
    </row>
    <row r="342" spans="1:57" ht="13.5" customHeight="1" x14ac:dyDescent="0.25">
      <c r="A342" s="356">
        <f>Personnel!C99</f>
        <v>0</v>
      </c>
      <c r="B342" s="357">
        <f>Personnel!C100</f>
        <v>0</v>
      </c>
      <c r="C342" s="115">
        <f>(B342*9)*2</f>
        <v>0</v>
      </c>
      <c r="D342" s="12"/>
      <c r="E342" s="12"/>
      <c r="F342" s="12"/>
      <c r="G342" s="12"/>
      <c r="H342" s="12"/>
      <c r="I342" s="12"/>
      <c r="J342" s="12"/>
      <c r="K342" s="12"/>
      <c r="L342" s="12"/>
      <c r="M342" s="12"/>
      <c r="N342" s="12"/>
      <c r="O342" s="12">
        <v>22</v>
      </c>
      <c r="P342" s="12"/>
      <c r="Q342" s="12"/>
      <c r="R342" s="12"/>
      <c r="S342" s="12"/>
      <c r="T342" s="12"/>
      <c r="U342" s="12"/>
      <c r="V342" s="12"/>
      <c r="W342" s="12"/>
      <c r="X342" s="12"/>
      <c r="Y342" s="12"/>
      <c r="Z342" s="12"/>
      <c r="AA342" s="12">
        <v>23</v>
      </c>
      <c r="AB342" s="12"/>
      <c r="AC342" s="12"/>
      <c r="AD342" s="12"/>
      <c r="AE342" s="12"/>
      <c r="AF342" s="12"/>
      <c r="AG342" s="12"/>
      <c r="AH342" s="12"/>
      <c r="AI342" s="12"/>
      <c r="AJ342" s="12"/>
      <c r="AK342" s="12"/>
      <c r="AL342" s="12">
        <v>24</v>
      </c>
      <c r="AM342" s="12"/>
      <c r="AN342" s="12"/>
      <c r="AO342" s="12"/>
      <c r="AP342" s="12"/>
      <c r="AQ342" s="12"/>
      <c r="AR342" s="12"/>
      <c r="AS342" s="12"/>
      <c r="AT342" s="12"/>
      <c r="AU342" s="12"/>
      <c r="AV342" s="12"/>
      <c r="AW342" s="12"/>
      <c r="AX342" s="12"/>
      <c r="AY342" s="12"/>
      <c r="AZ342" s="12"/>
      <c r="BA342" s="306" t="s">
        <v>412</v>
      </c>
      <c r="BB342" s="348">
        <f>Personnel!O99</f>
        <v>0</v>
      </c>
      <c r="BC342" s="276" t="s">
        <v>414</v>
      </c>
      <c r="BD342" s="285">
        <f>(N344+Z344+AK344+AV344+N346+Z346+AK346+AV346+N348+Z348+AK348+AV348)*AY344</f>
        <v>0</v>
      </c>
      <c r="BE342" s="15"/>
    </row>
    <row r="343" spans="1:57" ht="13.5" customHeight="1" x14ac:dyDescent="0.25">
      <c r="A343" s="145"/>
      <c r="B343" s="12"/>
      <c r="C343" s="117" t="s">
        <v>30</v>
      </c>
      <c r="D343" s="12"/>
      <c r="E343" s="13" t="s">
        <v>16</v>
      </c>
      <c r="F343" s="13" t="s">
        <v>42</v>
      </c>
      <c r="G343" s="13" t="s">
        <v>41</v>
      </c>
      <c r="H343" s="65" t="s">
        <v>77</v>
      </c>
      <c r="I343" s="64" t="s">
        <v>90</v>
      </c>
      <c r="J343" s="63" t="s">
        <v>70</v>
      </c>
      <c r="K343" s="52" t="s">
        <v>93</v>
      </c>
      <c r="L343" s="13" t="s">
        <v>35</v>
      </c>
      <c r="M343" s="13" t="s">
        <v>82</v>
      </c>
      <c r="N343" s="13" t="s">
        <v>31</v>
      </c>
      <c r="O343" s="14" t="s">
        <v>69</v>
      </c>
      <c r="P343" s="13" t="s">
        <v>72</v>
      </c>
      <c r="Q343" s="65" t="s">
        <v>80</v>
      </c>
      <c r="R343" s="62" t="s">
        <v>81</v>
      </c>
      <c r="S343" s="65" t="s">
        <v>77</v>
      </c>
      <c r="T343" s="600" t="s">
        <v>83</v>
      </c>
      <c r="U343" s="63" t="s">
        <v>70</v>
      </c>
      <c r="V343" s="13" t="s">
        <v>91</v>
      </c>
      <c r="W343" s="13" t="s">
        <v>43</v>
      </c>
      <c r="X343" s="13" t="s">
        <v>53</v>
      </c>
      <c r="Y343" s="13" t="s">
        <v>68</v>
      </c>
      <c r="Z343" s="13" t="s">
        <v>32</v>
      </c>
      <c r="AA343" s="14" t="s">
        <v>69</v>
      </c>
      <c r="AB343" s="13" t="s">
        <v>72</v>
      </c>
      <c r="AC343" s="13" t="s">
        <v>80</v>
      </c>
      <c r="AD343" s="62" t="s">
        <v>81</v>
      </c>
      <c r="AE343" s="65" t="s">
        <v>77</v>
      </c>
      <c r="AF343" s="63" t="s">
        <v>70</v>
      </c>
      <c r="AG343" s="13" t="s">
        <v>92</v>
      </c>
      <c r="AH343" s="13" t="s">
        <v>44</v>
      </c>
      <c r="AI343" s="13" t="s">
        <v>78</v>
      </c>
      <c r="AJ343" s="13" t="s">
        <v>68</v>
      </c>
      <c r="AK343" s="13" t="s">
        <v>33</v>
      </c>
      <c r="AL343" s="14" t="s">
        <v>69</v>
      </c>
      <c r="AM343" s="13" t="s">
        <v>72</v>
      </c>
      <c r="AN343" s="13" t="s">
        <v>80</v>
      </c>
      <c r="AO343" s="62" t="s">
        <v>81</v>
      </c>
      <c r="AP343" s="65" t="s">
        <v>77</v>
      </c>
      <c r="AQ343" s="63" t="s">
        <v>70</v>
      </c>
      <c r="AR343" s="13" t="s">
        <v>92</v>
      </c>
      <c r="AS343" s="13" t="s">
        <v>44</v>
      </c>
      <c r="AT343" s="13" t="s">
        <v>78</v>
      </c>
      <c r="AU343" s="13" t="s">
        <v>68</v>
      </c>
      <c r="AV343" s="13" t="s">
        <v>33</v>
      </c>
      <c r="AW343" s="14" t="s">
        <v>69</v>
      </c>
      <c r="AX343" s="13"/>
      <c r="AY343" s="13" t="s">
        <v>159</v>
      </c>
      <c r="AZ343" s="12"/>
      <c r="BA343" s="227"/>
      <c r="BB343" s="349"/>
      <c r="BC343" s="227"/>
      <c r="BD343" s="275"/>
      <c r="BE343" s="12"/>
    </row>
    <row r="344" spans="1:57" ht="13.5" customHeight="1" x14ac:dyDescent="0.25">
      <c r="A344" s="145"/>
      <c r="B344" s="12"/>
      <c r="C344" s="115"/>
      <c r="D344" s="12"/>
      <c r="E344" s="118">
        <f>BB342</f>
        <v>0</v>
      </c>
      <c r="F344" s="19">
        <f>IF($D$4=2022,1,0)</f>
        <v>0</v>
      </c>
      <c r="G344" s="178">
        <f>IF($B$380="Yes",$C$5,$I379)</f>
        <v>12</v>
      </c>
      <c r="H344" s="36">
        <f>VLOOKUP(H378,'Lookup Tables'!$A$22:$B$33,2,FALSE)</f>
        <v>3</v>
      </c>
      <c r="I344" s="192">
        <f>VLOOKUP($E$4,'Lookup Tables'!$AB$46:$AN$58,MATCH($H344,'Lookup Tables'!$AB$46:$AN$46),FALSE)</f>
        <v>12</v>
      </c>
      <c r="J344" s="33">
        <f>VLOOKUP(H344,'Lookup Tables'!$A$3:$AA$16,MATCH(PersonCalcYr2!$G344,'Lookup Tables'!$A$3:$AA$3),FALSE)</f>
        <v>1.5161</v>
      </c>
      <c r="K344" s="54">
        <f>VLOOKUP($H378,'Lookup Tables'!$K$23:$L$34,2,FALSE)</f>
        <v>0</v>
      </c>
      <c r="L344" s="12">
        <f>IF(G344&lt;=K344,G344,K344)</f>
        <v>0</v>
      </c>
      <c r="M344" s="195">
        <f>IF(12-I344&gt;=1,1,0)</f>
        <v>0</v>
      </c>
      <c r="N344" s="15">
        <f>(('Rate Tables'!B89*PersonCalcYr2!E344)*PersonCalcYr2!L344)*PersonCalcYr2!F344*M344</f>
        <v>0</v>
      </c>
      <c r="O344" s="28">
        <f>G344-((J344+L344)*M344)</f>
        <v>12</v>
      </c>
      <c r="P344" s="8">
        <f>IF(O344&lt;0,O344*0,1)*O344</f>
        <v>12</v>
      </c>
      <c r="Q344" s="120">
        <f>VLOOKUP($H378,'Lookup Tables'!$A$22:$B$33,2,FALSE)+(L344*M344)+(J344*M344)</f>
        <v>3</v>
      </c>
      <c r="R344" s="121" t="str">
        <f>VLOOKUP(Q344,'Lookup Tables'!$A$38:$B$151,2,FALSE)</f>
        <v>Sept</v>
      </c>
      <c r="S344" s="36">
        <f>VLOOKUP(R344,'Lookup Tables'!$A$22:$B$33,2,FALSE)</f>
        <v>3</v>
      </c>
      <c r="T344" s="599">
        <f>VLOOKUP($E$4,'Lookup Tables'!$AB$63:$AN$75,MATCH(PersonCalcYr2!$S344,'Lookup Tables'!$AB$63:$AN$63),FALSE)</f>
        <v>0.5161</v>
      </c>
      <c r="U344" s="34">
        <f>VLOOKUP(S344,'Lookup Tables'!$A$3:$AA$16,MATCH(PersonCalcYr2!$P344,'Lookup Tables'!$A$3:$AA$3),FALSE)</f>
        <v>1.5161</v>
      </c>
      <c r="V344" s="12">
        <f>9-T344</f>
        <v>8.4839000000000002</v>
      </c>
      <c r="W344" s="122">
        <f>P344-U344</f>
        <v>10.4839</v>
      </c>
      <c r="X344" s="119">
        <f>IF(V344&lt;=W344,V344,W344)</f>
        <v>8.4839000000000002</v>
      </c>
      <c r="Y344" s="195">
        <f>IF(12-T344-U344-X344&gt;=0,1,0)</f>
        <v>1</v>
      </c>
      <c r="Z344" s="20">
        <f>((('Rate Tables'!C89*$E344)*PersonCalcYr2!$X344)*$F344)*Y344</f>
        <v>0</v>
      </c>
      <c r="AA344" s="197">
        <f>O344-(((U344*U350)+X344)*Y344)</f>
        <v>2</v>
      </c>
      <c r="AB344" s="8">
        <f>IF(AA344&lt;0,AA344*0,1)*AA344</f>
        <v>2</v>
      </c>
      <c r="AC344" s="601">
        <f>S344+(X344*Y344)+((U344*U350)*Y344)</f>
        <v>13</v>
      </c>
      <c r="AD344" s="121" t="str">
        <f>VLOOKUP(AC344,'Lookup Tables'!$A$38:$B$151,2,FALSE)</f>
        <v>July</v>
      </c>
      <c r="AE344" s="36">
        <f>VLOOKUP(AD344,'Lookup Tables'!$A$22:$B$33,2,FALSE)</f>
        <v>1</v>
      </c>
      <c r="AF344" s="34">
        <f>VLOOKUP(AE344,'Lookup Tables'!$A$3:$AA$16,MATCH(PersonCalcYr2!AB344,'Lookup Tables'!$A$3:$AA$3),FALSE)</f>
        <v>1.4839</v>
      </c>
      <c r="AG344" s="12">
        <v>9</v>
      </c>
      <c r="AH344" s="122">
        <f>AB344-AF344</f>
        <v>0.5161</v>
      </c>
      <c r="AI344" s="119">
        <f>IF(AG344&lt;=AH344,AG344,AH344)</f>
        <v>0.5161</v>
      </c>
      <c r="AJ344" s="119">
        <f>IF((AG344+AF344)&lt;=0,0,1)</f>
        <v>1</v>
      </c>
      <c r="AK344" s="124">
        <f>((('Rate Tables'!D89*$E344)*PersonCalcYr2!AI344)*$F344)*AJ344</f>
        <v>0</v>
      </c>
      <c r="AL344" s="28">
        <f>AB344-AF344-AI344</f>
        <v>0</v>
      </c>
      <c r="AM344" s="8">
        <f>IF(AL344&lt;0,AL344*0,1)*AL344</f>
        <v>0</v>
      </c>
      <c r="AN344" s="601">
        <f>AE344+(AI344*AJ344)+((AF344*AF350)*AJ344)</f>
        <v>3</v>
      </c>
      <c r="AO344" s="121" t="str">
        <f>VLOOKUP(AN344,'Lookup Tables'!$A$38:$B$151,2,FALSE)</f>
        <v>Sept</v>
      </c>
      <c r="AP344" s="36">
        <f>VLOOKUP(AO344,'Lookup Tables'!$A$22:$B$33,2,FALSE)</f>
        <v>3</v>
      </c>
      <c r="AQ344" s="34">
        <f>VLOOKUP(AP344,'Lookup Tables'!$A$3:$AA$16,MATCH(PersonCalcYr2!AM344,'Lookup Tables'!$A$3:$AA$3),FALSE)</f>
        <v>0</v>
      </c>
      <c r="AR344" s="12">
        <v>9</v>
      </c>
      <c r="AS344" s="122">
        <f>AM344-AQ344</f>
        <v>0</v>
      </c>
      <c r="AT344" s="119">
        <f>IF(AR344&lt;=AS344,AR344,AS344)</f>
        <v>0</v>
      </c>
      <c r="AU344" s="119">
        <f>IF((AR344+AQ344)&lt;=0,0,1)</f>
        <v>1</v>
      </c>
      <c r="AV344" s="124">
        <f>((('Rate Tables'!E89*$E344)*PersonCalcYr2!AT344)*$F344)*AU344</f>
        <v>0</v>
      </c>
      <c r="AW344" s="28">
        <f>AM344-AQ344-AT344</f>
        <v>0</v>
      </c>
      <c r="AX344" s="19"/>
      <c r="AY344" s="19">
        <f>VLOOKUP(B340,'Lookup Tables'!$AK$22:$AM$24,2,0)</f>
        <v>0</v>
      </c>
      <c r="AZ344" s="12"/>
      <c r="BA344" s="227"/>
      <c r="BB344" s="350"/>
      <c r="BC344" s="276" t="s">
        <v>184</v>
      </c>
      <c r="BD344" s="277">
        <f>BD342*'Rate Tables'!P$8</f>
        <v>0</v>
      </c>
      <c r="BE344" s="224"/>
    </row>
    <row r="345" spans="1:57" ht="13.5" customHeight="1" x14ac:dyDescent="0.25">
      <c r="A345" s="145"/>
      <c r="B345" s="12"/>
      <c r="C345" s="117" t="s">
        <v>597</v>
      </c>
      <c r="D345" s="12"/>
      <c r="E345" s="13" t="s">
        <v>16</v>
      </c>
      <c r="F345" s="13" t="s">
        <v>42</v>
      </c>
      <c r="G345" s="13" t="s">
        <v>41</v>
      </c>
      <c r="H345" s="65" t="s">
        <v>77</v>
      </c>
      <c r="I345" s="64" t="s">
        <v>90</v>
      </c>
      <c r="J345" s="63" t="s">
        <v>70</v>
      </c>
      <c r="K345" s="52" t="s">
        <v>109</v>
      </c>
      <c r="L345" s="13" t="s">
        <v>53</v>
      </c>
      <c r="M345" s="13" t="s">
        <v>82</v>
      </c>
      <c r="N345" s="13" t="s">
        <v>32</v>
      </c>
      <c r="O345" s="14" t="s">
        <v>69</v>
      </c>
      <c r="P345" s="13" t="s">
        <v>72</v>
      </c>
      <c r="Q345" s="65" t="s">
        <v>80</v>
      </c>
      <c r="R345" s="62" t="s">
        <v>81</v>
      </c>
      <c r="S345" s="65" t="s">
        <v>77</v>
      </c>
      <c r="T345" s="600" t="s">
        <v>83</v>
      </c>
      <c r="U345" s="63" t="s">
        <v>70</v>
      </c>
      <c r="V345" s="13" t="s">
        <v>92</v>
      </c>
      <c r="W345" s="13" t="s">
        <v>44</v>
      </c>
      <c r="X345" s="13" t="s">
        <v>78</v>
      </c>
      <c r="Y345" s="13" t="s">
        <v>68</v>
      </c>
      <c r="Z345" s="13" t="s">
        <v>33</v>
      </c>
      <c r="AA345" s="14" t="s">
        <v>69</v>
      </c>
      <c r="AB345" s="13" t="s">
        <v>72</v>
      </c>
      <c r="AC345" s="13" t="s">
        <v>80</v>
      </c>
      <c r="AD345" s="62" t="s">
        <v>81</v>
      </c>
      <c r="AE345" s="65" t="s">
        <v>77</v>
      </c>
      <c r="AF345" s="63" t="s">
        <v>70</v>
      </c>
      <c r="AG345" s="13" t="s">
        <v>94</v>
      </c>
      <c r="AH345" s="13" t="s">
        <v>45</v>
      </c>
      <c r="AI345" s="13" t="s">
        <v>79</v>
      </c>
      <c r="AJ345" s="13" t="s">
        <v>68</v>
      </c>
      <c r="AK345" s="13" t="s">
        <v>34</v>
      </c>
      <c r="AL345" s="14" t="s">
        <v>69</v>
      </c>
      <c r="AM345" s="13" t="s">
        <v>72</v>
      </c>
      <c r="AN345" s="13" t="s">
        <v>80</v>
      </c>
      <c r="AO345" s="62" t="s">
        <v>81</v>
      </c>
      <c r="AP345" s="65" t="s">
        <v>77</v>
      </c>
      <c r="AQ345" s="63" t="s">
        <v>70</v>
      </c>
      <c r="AR345" s="13" t="s">
        <v>94</v>
      </c>
      <c r="AS345" s="13" t="s">
        <v>45</v>
      </c>
      <c r="AT345" s="13" t="s">
        <v>79</v>
      </c>
      <c r="AU345" s="13" t="s">
        <v>68</v>
      </c>
      <c r="AV345" s="13" t="s">
        <v>34</v>
      </c>
      <c r="AW345" s="14" t="s">
        <v>69</v>
      </c>
      <c r="AX345" s="13"/>
      <c r="AY345" s="13"/>
      <c r="AZ345" s="12"/>
      <c r="BA345" s="227"/>
      <c r="BB345" s="351"/>
      <c r="BC345" s="227"/>
      <c r="BD345" s="275"/>
      <c r="BE345" s="12"/>
    </row>
    <row r="346" spans="1:57" ht="13.5" customHeight="1" x14ac:dyDescent="0.25">
      <c r="A346" s="145"/>
      <c r="B346" s="12"/>
      <c r="C346" s="115"/>
      <c r="D346" s="12"/>
      <c r="E346" s="118">
        <f>BB342</f>
        <v>0</v>
      </c>
      <c r="F346" s="19">
        <f>IF($D$4=2023,1,0)</f>
        <v>1</v>
      </c>
      <c r="G346" s="178">
        <f>IF($B$380="Yes",$C$5,$I379)</f>
        <v>12</v>
      </c>
      <c r="H346" s="36">
        <f>VLOOKUP(H378,'Lookup Tables'!$A$22:$B$33,2,FALSE)</f>
        <v>3</v>
      </c>
      <c r="I346" s="192">
        <f>VLOOKUP($E$4,'Lookup Tables'!$AB$46:$AN$58,MATCH($H346,'Lookup Tables'!$AB$46:$AN$46),FALSE)</f>
        <v>12</v>
      </c>
      <c r="J346" s="33">
        <f>VLOOKUP(H346,'Lookup Tables'!$A$3:$AA$16,MATCH(PersonCalcYr2!$G346,'Lookup Tables'!$A$3:$AA$3),FALSE)</f>
        <v>1.5161</v>
      </c>
      <c r="K346" s="54">
        <f>VLOOKUP($H378,'Lookup Tables'!$K$23:$L$34,2,FALSE)</f>
        <v>0</v>
      </c>
      <c r="L346" s="12">
        <f>IF(G346&lt;=K346,G346,K346)</f>
        <v>0</v>
      </c>
      <c r="M346" s="195">
        <f>IF(12-I346&gt;=1,1,0)</f>
        <v>0</v>
      </c>
      <c r="N346" s="15">
        <f>(('Rate Tables'!C89*PersonCalcYr2!E346)*PersonCalcYr2!L346)*PersonCalcYr2!F346*M346</f>
        <v>0</v>
      </c>
      <c r="O346" s="28">
        <f>G346-((J346+L346)*M346)</f>
        <v>12</v>
      </c>
      <c r="P346" s="8">
        <f>IF(O346&lt;0,O346*0,1)*O346</f>
        <v>12</v>
      </c>
      <c r="Q346" s="120">
        <f>VLOOKUP($H378,'Lookup Tables'!$A$22:$B$33,2,FALSE)+(L346*M346)+(J346*M346)</f>
        <v>3</v>
      </c>
      <c r="R346" s="121" t="str">
        <f>VLOOKUP(Q346,'Lookup Tables'!$A$38:$B$151,2,FALSE)</f>
        <v>Sept</v>
      </c>
      <c r="S346" s="36">
        <f>VLOOKUP(R346,'Lookup Tables'!$A$22:$B$33,2,FALSE)</f>
        <v>3</v>
      </c>
      <c r="T346" s="599">
        <f>VLOOKUP($E$4,'Lookup Tables'!$AB$63:$AN$75,MATCH(PersonCalcYr2!$S346,'Lookup Tables'!$AB$63:$AN$63),FALSE)</f>
        <v>0.5161</v>
      </c>
      <c r="U346" s="34">
        <f>VLOOKUP(S346,'Lookup Tables'!$A$3:$AA$16,MATCH(PersonCalcYr2!$P346,'Lookup Tables'!$A$3:$AA$3),FALSE)</f>
        <v>1.5161</v>
      </c>
      <c r="V346" s="12">
        <f>9-T346</f>
        <v>8.4839000000000002</v>
      </c>
      <c r="W346" s="122">
        <f>P346-U346</f>
        <v>10.4839</v>
      </c>
      <c r="X346" s="119">
        <f>IF(V346&lt;=W346,V346,W346)</f>
        <v>8.4839000000000002</v>
      </c>
      <c r="Y346" s="195">
        <f>IF(12-T346-U346-X346&gt;=0,1,0)</f>
        <v>1</v>
      </c>
      <c r="Z346" s="20">
        <f>((('Rate Tables'!D89*$E346)*PersonCalcYr2!$X346)*$F346)*Y346</f>
        <v>0</v>
      </c>
      <c r="AA346" s="197">
        <f>O346-(((U346*U350)+X346)*Y346)</f>
        <v>2</v>
      </c>
      <c r="AB346" s="8">
        <f>IF(AA346&lt;0,AA346*0,1)*AA346</f>
        <v>2</v>
      </c>
      <c r="AC346" s="601">
        <f>S346+(X346*Y346)+((U346*U350)*Y346)</f>
        <v>13</v>
      </c>
      <c r="AD346" s="121" t="str">
        <f>VLOOKUP(AC346,'Lookup Tables'!$A$38:$B$151,2,FALSE)</f>
        <v>July</v>
      </c>
      <c r="AE346" s="36">
        <f>VLOOKUP(AD346,'Lookup Tables'!$A$22:$B$33,2,FALSE)</f>
        <v>1</v>
      </c>
      <c r="AF346" s="34">
        <f>VLOOKUP(AE346,'Lookup Tables'!$A$3:$AA$16,MATCH(PersonCalcYr2!AB346,'Lookup Tables'!$A$3:$AA$3),FALSE)</f>
        <v>1.4839</v>
      </c>
      <c r="AG346" s="12">
        <v>9</v>
      </c>
      <c r="AH346" s="122">
        <f>AB346-AF346</f>
        <v>0.5161</v>
      </c>
      <c r="AI346" s="119">
        <f>IF(AG346&lt;=AH346,AG346,AH346)</f>
        <v>0.5161</v>
      </c>
      <c r="AJ346" s="119">
        <f>IF((AG346+AF346)&lt;=0,0,1)</f>
        <v>1</v>
      </c>
      <c r="AK346" s="124">
        <f>((('Rate Tables'!E89*$E346)*PersonCalcYr2!AI346)*$F346)*AJ346</f>
        <v>0</v>
      </c>
      <c r="AL346" s="28">
        <f>AB346-AF346-AI346</f>
        <v>0</v>
      </c>
      <c r="AM346" s="8">
        <f>IF(AL346&lt;0,AL346*0,1)*AL346</f>
        <v>0</v>
      </c>
      <c r="AN346" s="601">
        <f>AE346+(AI346*AJ346)+((AF346*AF350)*AJ346)</f>
        <v>3</v>
      </c>
      <c r="AO346" s="121" t="str">
        <f>VLOOKUP(AN346,'Lookup Tables'!$A$38:$B$151,2,FALSE)</f>
        <v>Sept</v>
      </c>
      <c r="AP346" s="36">
        <f>VLOOKUP(AO346,'Lookup Tables'!$A$22:$B$33,2,FALSE)</f>
        <v>3</v>
      </c>
      <c r="AQ346" s="34">
        <f>VLOOKUP(AP346,'Lookup Tables'!$A$3:$AA$16,MATCH(PersonCalcYr2!AM346,'Lookup Tables'!$A$3:$AA$3),FALSE)</f>
        <v>0</v>
      </c>
      <c r="AR346" s="12">
        <v>9</v>
      </c>
      <c r="AS346" s="122">
        <f>AM346-AQ346</f>
        <v>0</v>
      </c>
      <c r="AT346" s="119">
        <f>IF(AR346&lt;=AS346,AR346,AS346)</f>
        <v>0</v>
      </c>
      <c r="AU346" s="119">
        <f>IF((AR346+AQ346)&lt;=0,0,1)</f>
        <v>1</v>
      </c>
      <c r="AV346" s="124">
        <f>((('Rate Tables'!F89*$E346)*PersonCalcYr2!AT346)*$F346)*AU346</f>
        <v>0</v>
      </c>
      <c r="AW346" s="28">
        <f>AM346-AQ346-AT346</f>
        <v>0</v>
      </c>
      <c r="AX346" s="19"/>
      <c r="AY346" s="19"/>
      <c r="AZ346" s="12"/>
      <c r="BA346" s="1199" t="s">
        <v>580</v>
      </c>
      <c r="BB346" s="349"/>
      <c r="BC346" s="276" t="s">
        <v>134</v>
      </c>
      <c r="BD346" s="286">
        <f>(((O350+O351+O352+AA350+AA351+AA352+AL350+AL351+AL352+AW350+AW351+AW352)*AY350)*BD349)*BB351</f>
        <v>0</v>
      </c>
      <c r="BE346" s="146"/>
    </row>
    <row r="347" spans="1:57" ht="13.5" customHeight="1" x14ac:dyDescent="0.25">
      <c r="A347" s="145"/>
      <c r="B347" s="12"/>
      <c r="C347" s="117" t="s">
        <v>664</v>
      </c>
      <c r="D347" s="12"/>
      <c r="E347" s="13" t="s">
        <v>16</v>
      </c>
      <c r="F347" s="13" t="s">
        <v>42</v>
      </c>
      <c r="G347" s="13" t="s">
        <v>41</v>
      </c>
      <c r="H347" s="65" t="s">
        <v>77</v>
      </c>
      <c r="I347" s="64" t="s">
        <v>90</v>
      </c>
      <c r="J347" s="63" t="s">
        <v>70</v>
      </c>
      <c r="K347" s="52" t="s">
        <v>109</v>
      </c>
      <c r="L347" s="13" t="s">
        <v>53</v>
      </c>
      <c r="M347" s="13" t="s">
        <v>82</v>
      </c>
      <c r="N347" s="13" t="s">
        <v>32</v>
      </c>
      <c r="O347" s="14" t="s">
        <v>69</v>
      </c>
      <c r="P347" s="13" t="s">
        <v>72</v>
      </c>
      <c r="Q347" s="65" t="s">
        <v>80</v>
      </c>
      <c r="R347" s="62" t="s">
        <v>81</v>
      </c>
      <c r="S347" s="65" t="s">
        <v>77</v>
      </c>
      <c r="T347" s="600" t="s">
        <v>83</v>
      </c>
      <c r="U347" s="63" t="s">
        <v>70</v>
      </c>
      <c r="V347" s="13" t="s">
        <v>92</v>
      </c>
      <c r="W347" s="13" t="s">
        <v>44</v>
      </c>
      <c r="X347" s="13" t="s">
        <v>78</v>
      </c>
      <c r="Y347" s="13" t="s">
        <v>68</v>
      </c>
      <c r="Z347" s="13" t="s">
        <v>33</v>
      </c>
      <c r="AA347" s="14" t="s">
        <v>69</v>
      </c>
      <c r="AB347" s="13" t="s">
        <v>72</v>
      </c>
      <c r="AC347" s="13" t="s">
        <v>80</v>
      </c>
      <c r="AD347" s="62" t="s">
        <v>81</v>
      </c>
      <c r="AE347" s="65" t="s">
        <v>77</v>
      </c>
      <c r="AF347" s="63" t="s">
        <v>70</v>
      </c>
      <c r="AG347" s="13" t="s">
        <v>94</v>
      </c>
      <c r="AH347" s="13" t="s">
        <v>45</v>
      </c>
      <c r="AI347" s="13" t="s">
        <v>79</v>
      </c>
      <c r="AJ347" s="13" t="s">
        <v>68</v>
      </c>
      <c r="AK347" s="13" t="s">
        <v>34</v>
      </c>
      <c r="AL347" s="14" t="s">
        <v>69</v>
      </c>
      <c r="AM347" s="13" t="s">
        <v>72</v>
      </c>
      <c r="AN347" s="13" t="s">
        <v>80</v>
      </c>
      <c r="AO347" s="62" t="s">
        <v>81</v>
      </c>
      <c r="AP347" s="65" t="s">
        <v>77</v>
      </c>
      <c r="AQ347" s="63" t="s">
        <v>70</v>
      </c>
      <c r="AR347" s="13" t="s">
        <v>94</v>
      </c>
      <c r="AS347" s="13" t="s">
        <v>45</v>
      </c>
      <c r="AT347" s="13" t="s">
        <v>79</v>
      </c>
      <c r="AU347" s="13" t="s">
        <v>68</v>
      </c>
      <c r="AV347" s="13" t="s">
        <v>34</v>
      </c>
      <c r="AW347" s="14" t="s">
        <v>69</v>
      </c>
      <c r="AX347" s="19"/>
      <c r="AY347" s="19"/>
      <c r="AZ347" s="12"/>
      <c r="BA347" s="1199"/>
      <c r="BB347" s="349"/>
      <c r="BC347" s="276"/>
      <c r="BD347" s="286"/>
      <c r="BE347" s="146"/>
    </row>
    <row r="348" spans="1:57" ht="13.5" customHeight="1" x14ac:dyDescent="0.25">
      <c r="A348" s="145"/>
      <c r="B348" s="12"/>
      <c r="C348" s="115"/>
      <c r="D348" s="12"/>
      <c r="E348" s="118">
        <f>BB342</f>
        <v>0</v>
      </c>
      <c r="F348" s="19">
        <f>IF($D$4=2024,1,0)</f>
        <v>0</v>
      </c>
      <c r="G348" s="178">
        <f>IF($B$380="Yes",$C$5,$I379)</f>
        <v>12</v>
      </c>
      <c r="H348" s="36">
        <f>VLOOKUP(H378,'Lookup Tables'!$A$22:$B$33,2,FALSE)</f>
        <v>3</v>
      </c>
      <c r="I348" s="192">
        <f>VLOOKUP($E$4,'Lookup Tables'!$AB$46:$AN$58,MATCH($H348,'Lookup Tables'!$AB$46:$AN$46),FALSE)</f>
        <v>12</v>
      </c>
      <c r="J348" s="33">
        <f>VLOOKUP(H348,'Lookup Tables'!$A$3:$AA$16,MATCH(PersonCalcYr2!$G348,'Lookup Tables'!$A$3:$AA$3),FALSE)</f>
        <v>1.5161</v>
      </c>
      <c r="K348" s="54">
        <f>VLOOKUP($H378,'Lookup Tables'!$K$23:$L$34,2,FALSE)</f>
        <v>0</v>
      </c>
      <c r="L348" s="12">
        <f>IF(G348&lt;=K348,G348,K348)</f>
        <v>0</v>
      </c>
      <c r="M348" s="195">
        <f>IF(12-I348&gt;=1,1,0)</f>
        <v>0</v>
      </c>
      <c r="N348" s="15">
        <f>(('Rate Tables'!D89*PersonCalcYr2!E348)*PersonCalcYr2!L348)*PersonCalcYr2!F348*M348</f>
        <v>0</v>
      </c>
      <c r="O348" s="28">
        <f>G348-((J348+L348)*M348)</f>
        <v>12</v>
      </c>
      <c r="P348" s="8">
        <f>IF(O348&lt;0,O348*0,1)*O348</f>
        <v>12</v>
      </c>
      <c r="Q348" s="120">
        <f>VLOOKUP($H378,'Lookup Tables'!$A$22:$B$33,2,FALSE)+(L348*M348)+(J348*M348)</f>
        <v>3</v>
      </c>
      <c r="R348" s="121" t="str">
        <f>VLOOKUP(Q348,'Lookup Tables'!$A$38:$B$151,2,FALSE)</f>
        <v>Sept</v>
      </c>
      <c r="S348" s="36">
        <f>VLOOKUP(R348,'Lookup Tables'!$A$22:$B$33,2,FALSE)</f>
        <v>3</v>
      </c>
      <c r="T348" s="599">
        <f>VLOOKUP($E$4,'Lookup Tables'!$AB$63:$AN$75,MATCH(PersonCalcYr2!$S348,'Lookup Tables'!$AB$63:$AN$63),FALSE)</f>
        <v>0.5161</v>
      </c>
      <c r="U348" s="34">
        <f>VLOOKUP(S348,'Lookup Tables'!$A$3:$AA$16,MATCH(PersonCalcYr2!$P348,'Lookup Tables'!$A$3:$AA$3),FALSE)</f>
        <v>1.5161</v>
      </c>
      <c r="V348" s="12">
        <f>9-T348</f>
        <v>8.4839000000000002</v>
      </c>
      <c r="W348" s="122">
        <f>P348-U348</f>
        <v>10.4839</v>
      </c>
      <c r="X348" s="119">
        <f>IF(V348&lt;=W348,V348,W348)</f>
        <v>8.4839000000000002</v>
      </c>
      <c r="Y348" s="195">
        <f>IF(12-T348-U348-X348&gt;=0,1,0)</f>
        <v>1</v>
      </c>
      <c r="Z348" s="20">
        <f>((('Rate Tables'!E89*$E348)*PersonCalcYr2!$X348)*$F348)*Y348</f>
        <v>0</v>
      </c>
      <c r="AA348" s="197">
        <f>O348-(((U348*U350)+X348)*Y348)</f>
        <v>2</v>
      </c>
      <c r="AB348" s="8">
        <f>IF(AA348&lt;0,AA348*0,1)*AA348</f>
        <v>2</v>
      </c>
      <c r="AC348" s="601">
        <f>S348+(X348*Y348)+((U348*U350)*Y348)</f>
        <v>13</v>
      </c>
      <c r="AD348" s="121" t="str">
        <f>VLOOKUP(AC348,'Lookup Tables'!$A$38:$B$151,2,FALSE)</f>
        <v>July</v>
      </c>
      <c r="AE348" s="36">
        <f>VLOOKUP(AD348,'Lookup Tables'!$A$22:$B$33,2,FALSE)</f>
        <v>1</v>
      </c>
      <c r="AF348" s="34">
        <f>VLOOKUP(AE348,'Lookup Tables'!$A$3:$AA$16,MATCH(PersonCalcYr2!AB348,'Lookup Tables'!$A$3:$AA$3),FALSE)</f>
        <v>1.4839</v>
      </c>
      <c r="AG348" s="12">
        <v>9</v>
      </c>
      <c r="AH348" s="122">
        <f>AB348-AF348</f>
        <v>0.5161</v>
      </c>
      <c r="AI348" s="119">
        <f>IF(AG348&lt;=AH348,AG348,AH348)</f>
        <v>0.5161</v>
      </c>
      <c r="AJ348" s="119">
        <f>IF((AG348+AF348)&lt;=0,0,1)</f>
        <v>1</v>
      </c>
      <c r="AK348" s="124">
        <f>((('Rate Tables'!F89*$E348)*PersonCalcYr2!AI348)*$F348)*AJ348</f>
        <v>0</v>
      </c>
      <c r="AL348" s="28">
        <f>AB348-AF348-AI348</f>
        <v>0</v>
      </c>
      <c r="AM348" s="8">
        <f>IF(AL348&lt;0,AL348*0,1)*AL348</f>
        <v>0</v>
      </c>
      <c r="AN348" s="601">
        <f>AE348+(AI348*AJ348)+((AF348*AF350)*AJ348)</f>
        <v>3</v>
      </c>
      <c r="AO348" s="121" t="str">
        <f>VLOOKUP(AN348,'Lookup Tables'!$A$38:$B$151,2,FALSE)</f>
        <v>Sept</v>
      </c>
      <c r="AP348" s="36">
        <f>VLOOKUP(AO348,'Lookup Tables'!$A$22:$B$33,2,FALSE)</f>
        <v>3</v>
      </c>
      <c r="AQ348" s="34">
        <f>VLOOKUP(AP348,'Lookup Tables'!$A$3:$AA$16,MATCH(PersonCalcYr2!AM348,'Lookup Tables'!$A$3:$AA$3),FALSE)</f>
        <v>0</v>
      </c>
      <c r="AR348" s="12">
        <v>9</v>
      </c>
      <c r="AS348" s="122">
        <f>AM348-AQ348</f>
        <v>0</v>
      </c>
      <c r="AT348" s="119">
        <f>IF(AR348&lt;=AS348,AR348,AS348)</f>
        <v>0</v>
      </c>
      <c r="AU348" s="119">
        <f>IF((AR348+AQ348)&lt;=0,0,1)</f>
        <v>1</v>
      </c>
      <c r="AV348" s="124">
        <f>((('Rate Tables'!G89*$E348)*PersonCalcYr2!AT348)*$F348)*AU348</f>
        <v>0</v>
      </c>
      <c r="AW348" s="28">
        <f>AM348-AQ348-AT348</f>
        <v>0</v>
      </c>
      <c r="AX348" s="19"/>
      <c r="AY348" s="19"/>
      <c r="AZ348" s="12"/>
      <c r="BA348" s="1199"/>
      <c r="BB348" s="349" t="s">
        <v>643</v>
      </c>
      <c r="BC348" s="276"/>
      <c r="BD348" s="286"/>
      <c r="BE348" s="146"/>
    </row>
    <row r="349" spans="1:57" ht="13.5" customHeight="1" x14ac:dyDescent="0.25">
      <c r="A349" s="145"/>
      <c r="B349" s="12"/>
      <c r="C349" s="115"/>
      <c r="D349" s="12"/>
      <c r="E349" s="118"/>
      <c r="F349" s="19"/>
      <c r="G349" s="12"/>
      <c r="H349" s="12"/>
      <c r="I349" s="141"/>
      <c r="J349" s="228" t="s">
        <v>183</v>
      </c>
      <c r="K349" s="13" t="s">
        <v>181</v>
      </c>
      <c r="L349" s="13" t="s">
        <v>179</v>
      </c>
      <c r="M349" s="13" t="s">
        <v>180</v>
      </c>
      <c r="N349" s="660" t="s">
        <v>128</v>
      </c>
      <c r="O349" s="135" t="s">
        <v>130</v>
      </c>
      <c r="P349" s="8"/>
      <c r="Q349" s="123"/>
      <c r="R349" s="12"/>
      <c r="S349" s="12"/>
      <c r="T349" s="12"/>
      <c r="U349" s="12"/>
      <c r="V349" s="228" t="s">
        <v>183</v>
      </c>
      <c r="W349" s="13" t="s">
        <v>181</v>
      </c>
      <c r="X349" s="13" t="s">
        <v>179</v>
      </c>
      <c r="Y349" s="13" t="s">
        <v>180</v>
      </c>
      <c r="Z349" s="13" t="s">
        <v>128</v>
      </c>
      <c r="AA349" s="135" t="s">
        <v>130</v>
      </c>
      <c r="AB349" s="8"/>
      <c r="AC349" s="123"/>
      <c r="AD349" s="12"/>
      <c r="AE349" s="12"/>
      <c r="AF349" s="12"/>
      <c r="AG349" s="228" t="s">
        <v>183</v>
      </c>
      <c r="AH349" s="13" t="s">
        <v>181</v>
      </c>
      <c r="AI349" s="13" t="s">
        <v>179</v>
      </c>
      <c r="AJ349" s="13" t="s">
        <v>180</v>
      </c>
      <c r="AK349" s="52" t="s">
        <v>128</v>
      </c>
      <c r="AL349" s="135" t="s">
        <v>130</v>
      </c>
      <c r="AN349" s="13"/>
      <c r="AO349" s="13"/>
      <c r="AP349" s="13"/>
      <c r="AQ349" s="13"/>
      <c r="AR349" s="228" t="s">
        <v>183</v>
      </c>
      <c r="AS349" s="13" t="s">
        <v>181</v>
      </c>
      <c r="AT349" s="13" t="s">
        <v>179</v>
      </c>
      <c r="AU349" s="13" t="s">
        <v>180</v>
      </c>
      <c r="AV349" s="52" t="s">
        <v>128</v>
      </c>
      <c r="AW349" s="135" t="s">
        <v>130</v>
      </c>
      <c r="AX349" s="13"/>
      <c r="AY349" s="13" t="s">
        <v>159</v>
      </c>
      <c r="AZ349" s="12"/>
      <c r="BA349" s="1199"/>
      <c r="BB349" s="350" t="s">
        <v>644</v>
      </c>
      <c r="BC349" s="227" t="s">
        <v>582</v>
      </c>
      <c r="BD349" s="663">
        <f>IF(BD342&gt;0,1,0)</f>
        <v>0</v>
      </c>
      <c r="BE349" s="12"/>
    </row>
    <row r="350" spans="1:57" ht="13.5" customHeight="1" x14ac:dyDescent="0.25">
      <c r="A350" s="145"/>
      <c r="B350" s="227"/>
      <c r="C350" s="115"/>
      <c r="D350" s="12"/>
      <c r="E350" s="118"/>
      <c r="F350" s="19"/>
      <c r="G350" s="12"/>
      <c r="H350" s="12"/>
      <c r="I350" s="141"/>
      <c r="J350" s="141">
        <f>IF($BA357&gt;0,1,0)</f>
        <v>0</v>
      </c>
      <c r="K350" s="12">
        <f>IF($BA357=0,1,0)</f>
        <v>1</v>
      </c>
      <c r="L350" s="129">
        <f>'Rate Tables'!$P$17</f>
        <v>910</v>
      </c>
      <c r="M350" s="129">
        <f>'Rate Tables'!$Q$17</f>
        <v>933.34</v>
      </c>
      <c r="N350" s="661">
        <f>ROUNDUP(N353,0)</f>
        <v>0</v>
      </c>
      <c r="O350" s="136">
        <f>((J350*L350)+(K350*M350))*N350</f>
        <v>0</v>
      </c>
      <c r="P350" s="8"/>
      <c r="Q350" s="123"/>
      <c r="R350" s="12"/>
      <c r="S350" s="12"/>
      <c r="T350" s="605" t="s">
        <v>573</v>
      </c>
      <c r="U350" s="606">
        <f>VLOOKUP($E$4,'Lookup Tables'!$L$79:$X$91,MATCH(PersonCalcYr2!$S344,'Lookup Tables'!$L$79:$X$79),FALSE)</f>
        <v>1</v>
      </c>
      <c r="V350" s="141">
        <f>IF($BA357&gt;0,1,0)</f>
        <v>0</v>
      </c>
      <c r="W350" s="12">
        <f>IF($BA357=0,1,0)</f>
        <v>1</v>
      </c>
      <c r="X350" s="129">
        <f>'Rate Tables'!$P$18</f>
        <v>910</v>
      </c>
      <c r="Y350" s="129">
        <f>'Rate Tables'!$Q$18</f>
        <v>933.34</v>
      </c>
      <c r="Z350" s="657">
        <f>IF(Y354&lt;=AA354,Y354,AA354)</f>
        <v>0</v>
      </c>
      <c r="AA350" s="136">
        <f>((V350*X350)+(W350*Y350))*Z350</f>
        <v>0</v>
      </c>
      <c r="AB350" s="8"/>
      <c r="AC350" s="123"/>
      <c r="AD350" s="12"/>
      <c r="AE350" s="605" t="s">
        <v>573</v>
      </c>
      <c r="AF350" s="606">
        <v>1</v>
      </c>
      <c r="AG350" s="141">
        <f>IF($BA357&gt;0,1,0)</f>
        <v>0</v>
      </c>
      <c r="AH350" s="12">
        <f>IF($BA357=0,1,0)</f>
        <v>1</v>
      </c>
      <c r="AI350" s="129">
        <f>'Rate Tables'!$P$19</f>
        <v>910</v>
      </c>
      <c r="AJ350" s="129">
        <f>'Rate Tables'!$Q$19</f>
        <v>933.34</v>
      </c>
      <c r="AK350" s="657">
        <f>IF(AJ354&lt;=AL353,AJ354,AL353)</f>
        <v>0</v>
      </c>
      <c r="AL350" s="136">
        <f>((AG350*AI350)+(AH350*AJ350))*AK350</f>
        <v>0</v>
      </c>
      <c r="AN350" s="19"/>
      <c r="AO350" s="19"/>
      <c r="AP350" s="19"/>
      <c r="AQ350" s="19"/>
      <c r="AR350" s="141">
        <f>IF($BA357&gt;0,1,0)</f>
        <v>0</v>
      </c>
      <c r="AS350" s="12">
        <f>IF($BA357=0,1,0)</f>
        <v>1</v>
      </c>
      <c r="AT350" s="129">
        <f>'Rate Tables'!$P$20</f>
        <v>928.2</v>
      </c>
      <c r="AU350" s="129">
        <f>'Rate Tables'!$Q$20</f>
        <v>952</v>
      </c>
      <c r="AV350" s="657">
        <f>IF(AU353&lt;=AW353,AU353,AW353)</f>
        <v>0</v>
      </c>
      <c r="AW350" s="136">
        <f>((AR350*AT350)+(AS350*AU350))*AV350</f>
        <v>0</v>
      </c>
      <c r="AX350" s="19"/>
      <c r="AY350" s="19">
        <f>VLOOKUP(B340,'Lookup Tables'!$AK$22:$AM$24,2,0)</f>
        <v>0</v>
      </c>
      <c r="AZ350" s="12"/>
      <c r="BA350" s="307">
        <f>N353+N354+N355+Z354+Z355+Z356+AK353+AK354+AK355+AV353+AV354+AV355</f>
        <v>9</v>
      </c>
      <c r="BB350" s="358" t="str">
        <f>IF(BB342=50%,"no",Personnel!O102)</f>
        <v>No</v>
      </c>
      <c r="BC350" s="12"/>
      <c r="BD350" s="275"/>
      <c r="BE350" s="12"/>
    </row>
    <row r="351" spans="1:57" ht="13.5" customHeight="1" x14ac:dyDescent="0.25">
      <c r="A351" s="145"/>
      <c r="B351" s="12"/>
      <c r="C351" s="115"/>
      <c r="D351" s="12"/>
      <c r="E351" s="126"/>
      <c r="F351" s="19"/>
      <c r="G351" s="12"/>
      <c r="H351" s="12"/>
      <c r="I351" s="12"/>
      <c r="J351" s="141">
        <f>IF($BA357&gt;0,1,0)</f>
        <v>0</v>
      </c>
      <c r="K351" s="12">
        <f>IF($BA357=0,1,0)</f>
        <v>1</v>
      </c>
      <c r="L351" s="129">
        <f>'Rate Tables'!$P$18</f>
        <v>910</v>
      </c>
      <c r="M351" s="129">
        <f>'Rate Tables'!$Q$18</f>
        <v>933.34</v>
      </c>
      <c r="N351" s="661">
        <f>ROUNDUP(N354,0)</f>
        <v>0</v>
      </c>
      <c r="O351" s="136">
        <f>((J351*L351)+(K351*M351))*N351</f>
        <v>0</v>
      </c>
      <c r="P351" s="19"/>
      <c r="Q351" s="19"/>
      <c r="R351" s="19"/>
      <c r="S351" s="19"/>
      <c r="T351" s="19"/>
      <c r="U351" s="12"/>
      <c r="V351" s="141">
        <f>IF($BA357&gt;0,1,0)</f>
        <v>0</v>
      </c>
      <c r="W351" s="12">
        <f>IF($BA357=0,1,0)</f>
        <v>1</v>
      </c>
      <c r="X351" s="129">
        <f>'Rate Tables'!$P$19</f>
        <v>910</v>
      </c>
      <c r="Y351" s="129">
        <f>'Rate Tables'!$Q$19</f>
        <v>933.34</v>
      </c>
      <c r="Z351" s="657">
        <f>IF(Y354&lt;=AA355,Y354,AA355)</f>
        <v>9</v>
      </c>
      <c r="AA351" s="136">
        <f>((V351*X351)+(W351*Y351))*Z351</f>
        <v>8400.06</v>
      </c>
      <c r="AB351" s="20"/>
      <c r="AC351" s="20"/>
      <c r="AD351" s="20"/>
      <c r="AE351" s="20"/>
      <c r="AF351" s="123"/>
      <c r="AG351" s="141">
        <f>IF($BA357&gt;0,1,0)</f>
        <v>0</v>
      </c>
      <c r="AH351" s="12">
        <f>IF($BA357=0,1,0)</f>
        <v>1</v>
      </c>
      <c r="AI351" s="129">
        <f>'Rate Tables'!$P$20</f>
        <v>928.2</v>
      </c>
      <c r="AJ351" s="129">
        <f>'Rate Tables'!$Q$20</f>
        <v>952</v>
      </c>
      <c r="AK351" s="657">
        <f>IF(AJ354&lt;=AL354,AJ354,AL354)</f>
        <v>0</v>
      </c>
      <c r="AL351" s="136">
        <f>((AG351*AI351)+(AH351*AJ351))*AK351</f>
        <v>0</v>
      </c>
      <c r="AN351" s="19"/>
      <c r="AO351" s="19"/>
      <c r="AP351" s="19"/>
      <c r="AQ351" s="19"/>
      <c r="AR351" s="141">
        <f>IF($BA357&gt;0,1,0)</f>
        <v>0</v>
      </c>
      <c r="AS351" s="12">
        <f>IF($BA357=0,1,0)</f>
        <v>1</v>
      </c>
      <c r="AT351" s="129">
        <f>'Rate Tables'!$P$21</f>
        <v>946.76</v>
      </c>
      <c r="AU351" s="129">
        <f>'Rate Tables'!$Q$21</f>
        <v>971.04</v>
      </c>
      <c r="AV351" s="657">
        <f>IF(AU353&lt;=AW354,AU353,AW354)</f>
        <v>0</v>
      </c>
      <c r="AW351" s="136">
        <f>((AR351*AT351)+(AS351*AU351))*AV351</f>
        <v>0</v>
      </c>
      <c r="AX351" s="19"/>
      <c r="AY351" s="19"/>
      <c r="AZ351" s="12"/>
      <c r="BA351" s="307">
        <f>ROUNDUP(BA350,0)</f>
        <v>9</v>
      </c>
      <c r="BB351" s="349">
        <f>IF(BB350="yes",0.5,1)</f>
        <v>1</v>
      </c>
      <c r="BC351" s="12"/>
      <c r="BD351" s="275"/>
      <c r="BE351" s="12"/>
    </row>
    <row r="352" spans="1:57" ht="13.5" customHeight="1" x14ac:dyDescent="0.25">
      <c r="A352" s="145"/>
      <c r="B352" s="12"/>
      <c r="C352" s="115"/>
      <c r="D352" s="12"/>
      <c r="E352" s="126"/>
      <c r="F352" s="19"/>
      <c r="G352" s="12"/>
      <c r="H352" s="12"/>
      <c r="I352" s="12"/>
      <c r="J352" s="141">
        <f>IF($BA357&gt;0,1,0)</f>
        <v>0</v>
      </c>
      <c r="K352" s="12">
        <f>IF($BA357=0,1,0)</f>
        <v>1</v>
      </c>
      <c r="L352" s="129">
        <f>'Rate Tables'!$P$19</f>
        <v>910</v>
      </c>
      <c r="M352" s="129">
        <f>'Rate Tables'!$Q$19</f>
        <v>933.34</v>
      </c>
      <c r="N352" s="734">
        <f>ROUNDUP(N355,0)</f>
        <v>0</v>
      </c>
      <c r="O352" s="136">
        <f>((J352*L352)+(K352*M352))*N352</f>
        <v>0</v>
      </c>
      <c r="P352" s="19"/>
      <c r="Q352" s="19"/>
      <c r="R352" s="19"/>
      <c r="S352" s="19"/>
      <c r="T352" s="19"/>
      <c r="U352" s="12"/>
      <c r="V352" s="141">
        <f>IF($BA357&gt;0,1,0)</f>
        <v>0</v>
      </c>
      <c r="W352" s="12">
        <f>IF($BA357=0,1,0)</f>
        <v>1</v>
      </c>
      <c r="X352" s="129">
        <f>'Rate Tables'!$P$20</f>
        <v>928.2</v>
      </c>
      <c r="Y352" s="129">
        <f>'Rate Tables'!$Q$20</f>
        <v>952</v>
      </c>
      <c r="Z352" s="657">
        <f>IF(Y354&lt;=AA356,Y354,AA356)</f>
        <v>0</v>
      </c>
      <c r="AA352" s="136">
        <f>((V352*X352)+(W352*Y352))*Z352</f>
        <v>0</v>
      </c>
      <c r="AB352" s="20"/>
      <c r="AC352" s="20"/>
      <c r="AD352" s="20"/>
      <c r="AE352" s="20"/>
      <c r="AF352" s="123"/>
      <c r="AG352" s="141">
        <f>IF($BA357&gt;0,1,0)</f>
        <v>0</v>
      </c>
      <c r="AH352" s="12">
        <f>IF($BA357=0,1,0)</f>
        <v>1</v>
      </c>
      <c r="AI352" s="129">
        <f>'Rate Tables'!$P$21</f>
        <v>946.76</v>
      </c>
      <c r="AJ352" s="129">
        <f>'Rate Tables'!$Q$21</f>
        <v>971.04</v>
      </c>
      <c r="AK352" s="657">
        <f>IF(AJ354&lt;=AL355,AJ354,AL355)</f>
        <v>0</v>
      </c>
      <c r="AL352" s="136">
        <f>((AG352*AI352)+(AH352*AJ352))*AK352</f>
        <v>0</v>
      </c>
      <c r="AN352" s="19"/>
      <c r="AO352" s="19"/>
      <c r="AP352" s="19"/>
      <c r="AQ352" s="19"/>
      <c r="AR352" s="141">
        <f>IF($BA357&gt;0,1,0)</f>
        <v>0</v>
      </c>
      <c r="AS352" s="12">
        <f>IF($BA357=0,1,0)</f>
        <v>1</v>
      </c>
      <c r="AT352" s="129">
        <f>'Rate Tables'!$P$22</f>
        <v>965.7</v>
      </c>
      <c r="AU352" s="129">
        <f>'Rate Tables'!$Q$22</f>
        <v>990.46</v>
      </c>
      <c r="AV352" s="657">
        <f>IF(AU353&lt;=AW355,AU353,AW355)</f>
        <v>0</v>
      </c>
      <c r="AW352" s="136">
        <f>((AR352*AT352)+(AS352*AU352))*AV352</f>
        <v>0</v>
      </c>
      <c r="AX352" s="19"/>
      <c r="AY352" s="19"/>
      <c r="AZ352" s="12"/>
      <c r="BA352" s="307"/>
      <c r="BB352" s="349"/>
      <c r="BC352" s="12"/>
      <c r="BD352" s="275"/>
      <c r="BE352" s="12"/>
    </row>
    <row r="353" spans="1:57" ht="13.5" customHeight="1" x14ac:dyDescent="0.25">
      <c r="A353" s="145"/>
      <c r="B353" s="12"/>
      <c r="C353" s="115"/>
      <c r="D353" s="12"/>
      <c r="E353" s="126"/>
      <c r="F353" s="19"/>
      <c r="G353" s="12"/>
      <c r="H353" s="12"/>
      <c r="I353" s="12"/>
      <c r="J353" s="141"/>
      <c r="K353" s="12"/>
      <c r="L353" s="129"/>
      <c r="M353" s="129"/>
      <c r="N353" s="661">
        <f>L344*M344*F344</f>
        <v>0</v>
      </c>
      <c r="O353" s="136"/>
      <c r="P353" s="19"/>
      <c r="Q353" s="19"/>
      <c r="R353" s="19"/>
      <c r="S353" s="19"/>
      <c r="T353" s="19"/>
      <c r="U353" s="12"/>
      <c r="V353" s="141"/>
      <c r="W353" s="12"/>
      <c r="X353" s="129"/>
      <c r="Y353" s="129"/>
      <c r="Z353" s="657"/>
      <c r="AA353" s="125"/>
      <c r="AB353" s="20"/>
      <c r="AC353" s="20"/>
      <c r="AD353" s="20"/>
      <c r="AE353" s="20"/>
      <c r="AF353" s="123"/>
      <c r="AG353" s="141"/>
      <c r="AH353" s="12"/>
      <c r="AI353" s="129"/>
      <c r="AJ353" s="129"/>
      <c r="AK353" s="654">
        <f>AI344*AJ344*F344</f>
        <v>0</v>
      </c>
      <c r="AL353" s="655">
        <f>ROUNDUP(AK353,0)</f>
        <v>0</v>
      </c>
      <c r="AN353" s="19"/>
      <c r="AO353" s="19"/>
      <c r="AP353" s="19"/>
      <c r="AQ353" s="19"/>
      <c r="AR353" s="141"/>
      <c r="AS353" s="12"/>
      <c r="AT353" s="653" t="s">
        <v>581</v>
      </c>
      <c r="AU353" s="653">
        <f>AJ354-AK350-AK351-AK352</f>
        <v>0</v>
      </c>
      <c r="AV353" s="654">
        <f>AT344*AU344*F344</f>
        <v>0</v>
      </c>
      <c r="AW353" s="655">
        <f>ROUNDUP(AV353,0)</f>
        <v>0</v>
      </c>
      <c r="AX353" s="19"/>
      <c r="AY353" s="19"/>
      <c r="AZ353" s="12"/>
      <c r="BA353" s="307"/>
      <c r="BB353" s="349"/>
      <c r="BC353" s="12"/>
      <c r="BD353" s="275"/>
      <c r="BE353" s="12"/>
    </row>
    <row r="354" spans="1:57" ht="13.5" customHeight="1" x14ac:dyDescent="0.25">
      <c r="A354" s="145"/>
      <c r="B354" s="12"/>
      <c r="C354" s="115"/>
      <c r="D354" s="12"/>
      <c r="E354" s="126"/>
      <c r="F354" s="19"/>
      <c r="G354" s="12" t="s">
        <v>585</v>
      </c>
      <c r="H354" s="12"/>
      <c r="I354" s="12"/>
      <c r="J354" s="141"/>
      <c r="K354" s="12"/>
      <c r="L354" s="129"/>
      <c r="M354" s="129"/>
      <c r="N354" s="661">
        <f>L346*M346*F346</f>
        <v>0</v>
      </c>
      <c r="O354" s="136"/>
      <c r="P354" s="19"/>
      <c r="Q354" s="19"/>
      <c r="R354" s="19"/>
      <c r="S354" s="19"/>
      <c r="T354" s="19"/>
      <c r="U354" s="12"/>
      <c r="V354" s="141"/>
      <c r="W354" s="12"/>
      <c r="X354" s="653" t="s">
        <v>581</v>
      </c>
      <c r="Y354" s="653">
        <f>BA351-N350-N351-N352</f>
        <v>9</v>
      </c>
      <c r="Z354" s="654">
        <f>X344*Y344*F344</f>
        <v>0</v>
      </c>
      <c r="AA354" s="655">
        <f>ROUNDUP(Z354,0)</f>
        <v>0</v>
      </c>
      <c r="AB354" s="20"/>
      <c r="AC354" s="20"/>
      <c r="AD354" s="20"/>
      <c r="AE354" s="20"/>
      <c r="AF354" s="123"/>
      <c r="AG354" s="141"/>
      <c r="AH354" s="12"/>
      <c r="AI354" s="653" t="s">
        <v>581</v>
      </c>
      <c r="AJ354" s="653">
        <f>Y354-Z350-Z351-Z352</f>
        <v>0</v>
      </c>
      <c r="AK354" s="731">
        <f>AI346*AJ346*F346</f>
        <v>0.5161</v>
      </c>
      <c r="AL354" s="732">
        <f>ROUNDUP(AK354,0)</f>
        <v>1</v>
      </c>
      <c r="AN354" s="19"/>
      <c r="AO354" s="19"/>
      <c r="AP354" s="19"/>
      <c r="AQ354" s="19"/>
      <c r="AR354" s="141"/>
      <c r="AS354" s="12"/>
      <c r="AT354" s="129"/>
      <c r="AU354" s="129"/>
      <c r="AV354" s="731">
        <f>AT346*AU346*F346</f>
        <v>0</v>
      </c>
      <c r="AW354" s="732">
        <f>ROUNDUP(AV354,0)</f>
        <v>0</v>
      </c>
      <c r="AX354" s="19"/>
      <c r="AY354" s="19"/>
      <c r="AZ354" s="12"/>
      <c r="BA354" s="307"/>
      <c r="BB354" s="349"/>
      <c r="BC354" s="12"/>
      <c r="BD354" s="275"/>
      <c r="BE354" s="12"/>
    </row>
    <row r="355" spans="1:57" ht="13.5" customHeight="1" x14ac:dyDescent="0.25">
      <c r="A355" s="145"/>
      <c r="B355" s="12"/>
      <c r="C355" s="259" t="s">
        <v>606</v>
      </c>
      <c r="D355" s="12"/>
      <c r="E355" s="126"/>
      <c r="F355" s="19"/>
      <c r="G355" s="12"/>
      <c r="H355" s="12"/>
      <c r="I355" s="12"/>
      <c r="J355" s="12"/>
      <c r="K355" s="12"/>
      <c r="L355" s="12"/>
      <c r="M355" s="12"/>
      <c r="N355" s="662">
        <f>L348*M348*F348</f>
        <v>0</v>
      </c>
      <c r="O355" s="18"/>
      <c r="P355" s="19"/>
      <c r="Q355" s="19"/>
      <c r="R355" s="19"/>
      <c r="S355" s="19"/>
      <c r="T355" s="19"/>
      <c r="U355" s="12"/>
      <c r="V355" s="122"/>
      <c r="W355" s="122"/>
      <c r="X355" s="656"/>
      <c r="Y355" s="657"/>
      <c r="Z355" s="731">
        <f>X346*Y346*F346</f>
        <v>8.4839000000000002</v>
      </c>
      <c r="AA355" s="732">
        <f>ROUNDUP(Z355,0)</f>
        <v>9</v>
      </c>
      <c r="AB355" s="20"/>
      <c r="AC355" s="20"/>
      <c r="AD355" s="20"/>
      <c r="AE355" s="20"/>
      <c r="AF355" s="123"/>
      <c r="AG355" s="122"/>
      <c r="AH355" s="122"/>
      <c r="AI355" s="122"/>
      <c r="AJ355" s="122"/>
      <c r="AK355" s="733">
        <f>AI348*AJ348*F348</f>
        <v>0</v>
      </c>
      <c r="AL355" s="659">
        <f>ROUNDUP(AK355,0)</f>
        <v>0</v>
      </c>
      <c r="AN355" s="19"/>
      <c r="AO355" s="19"/>
      <c r="AP355" s="19"/>
      <c r="AQ355" s="19"/>
      <c r="AR355" s="122"/>
      <c r="AS355" s="122"/>
      <c r="AT355" s="122"/>
      <c r="AU355" s="122"/>
      <c r="AV355" s="733">
        <f>AT348*AU348*F348</f>
        <v>0</v>
      </c>
      <c r="AW355" s="659">
        <f>ROUNDUP(AV355,0)</f>
        <v>0</v>
      </c>
      <c r="AX355" s="19"/>
      <c r="AY355" s="19"/>
      <c r="AZ355" s="12"/>
      <c r="BA355" s="370" t="s">
        <v>411</v>
      </c>
      <c r="BB355" s="352" t="str">
        <f>Personnel!O100</f>
        <v>None</v>
      </c>
      <c r="BC355" s="276" t="s">
        <v>117</v>
      </c>
      <c r="BD355" s="285">
        <f>(N357+N359+N361+W357+W359+W361+AJ357+AJ359+AJ361+AU357+AU359+AU361)*AY357</f>
        <v>0</v>
      </c>
      <c r="BE355" s="15"/>
    </row>
    <row r="356" spans="1:57" ht="13.5" customHeight="1" x14ac:dyDescent="0.25">
      <c r="A356" s="145"/>
      <c r="B356" s="12"/>
      <c r="C356" s="117" t="s">
        <v>30</v>
      </c>
      <c r="D356" s="12"/>
      <c r="E356" s="13" t="s">
        <v>84</v>
      </c>
      <c r="F356" s="13" t="s">
        <v>42</v>
      </c>
      <c r="G356" s="13" t="s">
        <v>41</v>
      </c>
      <c r="H356" s="65" t="s">
        <v>77</v>
      </c>
      <c r="I356" s="137" t="s">
        <v>101</v>
      </c>
      <c r="J356" s="139" t="s">
        <v>102</v>
      </c>
      <c r="K356" s="127" t="s">
        <v>98</v>
      </c>
      <c r="L356" s="13" t="s">
        <v>100</v>
      </c>
      <c r="M356" s="13" t="s">
        <v>82</v>
      </c>
      <c r="N356" s="13" t="s">
        <v>31</v>
      </c>
      <c r="O356" s="14" t="s">
        <v>69</v>
      </c>
      <c r="P356" s="13" t="s">
        <v>72</v>
      </c>
      <c r="Q356" s="13" t="s">
        <v>103</v>
      </c>
      <c r="R356" s="65" t="s">
        <v>77</v>
      </c>
      <c r="S356" s="137" t="s">
        <v>101</v>
      </c>
      <c r="T356" s="139" t="s">
        <v>102</v>
      </c>
      <c r="U356" s="12" t="s">
        <v>98</v>
      </c>
      <c r="V356" s="13" t="s">
        <v>100</v>
      </c>
      <c r="W356" s="13" t="s">
        <v>32</v>
      </c>
      <c r="X356" s="13" t="s">
        <v>69</v>
      </c>
      <c r="Y356" s="13"/>
      <c r="Z356" s="658">
        <f>X348*Y348*F348</f>
        <v>0</v>
      </c>
      <c r="AA356" s="659">
        <f>ROUNDUP(Z356,0)</f>
        <v>0</v>
      </c>
      <c r="AB356" s="13" t="s">
        <v>72</v>
      </c>
      <c r="AC356" s="13" t="s">
        <v>103</v>
      </c>
      <c r="AD356" s="13"/>
      <c r="AE356" s="65" t="s">
        <v>77</v>
      </c>
      <c r="AF356" s="137" t="s">
        <v>101</v>
      </c>
      <c r="AG356" s="139" t="s">
        <v>102</v>
      </c>
      <c r="AH356" s="12" t="s">
        <v>98</v>
      </c>
      <c r="AI356" s="13" t="s">
        <v>100</v>
      </c>
      <c r="AJ356" s="13" t="s">
        <v>33</v>
      </c>
      <c r="AK356" s="13" t="s">
        <v>69</v>
      </c>
      <c r="AL356" s="18"/>
      <c r="AM356" s="13" t="s">
        <v>72</v>
      </c>
      <c r="AN356" s="13" t="s">
        <v>103</v>
      </c>
      <c r="AO356" s="13"/>
      <c r="AP356" s="65" t="s">
        <v>77</v>
      </c>
      <c r="AQ356" s="137" t="s">
        <v>101</v>
      </c>
      <c r="AR356" s="139" t="s">
        <v>102</v>
      </c>
      <c r="AS356" s="12" t="s">
        <v>98</v>
      </c>
      <c r="AT356" s="13" t="s">
        <v>100</v>
      </c>
      <c r="AU356" s="13" t="s">
        <v>33</v>
      </c>
      <c r="AV356" s="13" t="s">
        <v>69</v>
      </c>
      <c r="AW356" s="18"/>
      <c r="AX356" s="13"/>
      <c r="AY356" s="13" t="s">
        <v>159</v>
      </c>
      <c r="AZ356" s="12"/>
      <c r="BA356" s="276" t="s">
        <v>95</v>
      </c>
      <c r="BB356" s="349"/>
      <c r="BC356" s="276" t="s">
        <v>186</v>
      </c>
      <c r="BD356" s="277">
        <f>BD355*'Rate Tables'!P$8</f>
        <v>0</v>
      </c>
      <c r="BE356" s="224"/>
    </row>
    <row r="357" spans="1:57" ht="13.5" customHeight="1" x14ac:dyDescent="0.25">
      <c r="A357" s="145"/>
      <c r="B357" s="12"/>
      <c r="C357" s="115"/>
      <c r="D357" s="12"/>
      <c r="E357" s="211">
        <f>IF(H380&lt;=H381,H380,H381)</f>
        <v>0</v>
      </c>
      <c r="F357" s="19">
        <f>IF($D$4=2022,1,0)</f>
        <v>0</v>
      </c>
      <c r="G357" s="178">
        <f>IF($B$380="Yes",$C$5,$I379)</f>
        <v>12</v>
      </c>
      <c r="H357" s="36">
        <f>H344</f>
        <v>3</v>
      </c>
      <c r="I357" s="138">
        <f>VLOOKUP(J344,'Lookup Tables'!$AB$22:$AC$31,2,FALSE)</f>
        <v>32</v>
      </c>
      <c r="J357" s="140">
        <f>VLOOKUP(U344,'Lookup Tables'!$AB$32:$AC$41,2,FALSE)</f>
        <v>33</v>
      </c>
      <c r="K357" s="123">
        <f>E357-J357</f>
        <v>-33</v>
      </c>
      <c r="L357" s="12">
        <f>IF(K357&gt;0,1,0)</f>
        <v>0</v>
      </c>
      <c r="M357" s="119">
        <f>M344</f>
        <v>0</v>
      </c>
      <c r="N357" s="15">
        <f>((((('Rate Tables'!B89*9)*0.02778)/5)*K357)*L357)*F357*M357*BA359</f>
        <v>0</v>
      </c>
      <c r="O357" s="28">
        <f>O344</f>
        <v>12</v>
      </c>
      <c r="P357" s="8">
        <f>IF(O357&lt;0,O357*0,1)*O357</f>
        <v>12</v>
      </c>
      <c r="Q357" s="123">
        <f>(E357-K357*F357*L357*M357)</f>
        <v>0</v>
      </c>
      <c r="R357" s="36">
        <f>S344</f>
        <v>3</v>
      </c>
      <c r="S357" s="138">
        <f>VLOOKUP(U344,'Lookup Tables'!$AB$22:$AC$31,2,FALSE)</f>
        <v>32</v>
      </c>
      <c r="T357" s="140">
        <f>VLOOKUP(AF344,'Lookup Tables'!$AB$32:$AC$41,2,FALSE)</f>
        <v>33</v>
      </c>
      <c r="U357" s="129">
        <f>Q357-T357</f>
        <v>-33</v>
      </c>
      <c r="V357" s="12">
        <f>IF(U357&gt;0,1,0)</f>
        <v>0</v>
      </c>
      <c r="W357" s="15">
        <f>((('Rate Tables'!C89*9)*0.02778)/5)*U357*F357*V357*BA359</f>
        <v>0</v>
      </c>
      <c r="X357" s="8">
        <f>AA344</f>
        <v>2</v>
      </c>
      <c r="Y357" s="12"/>
      <c r="Z357" s="119"/>
      <c r="AA357" s="18"/>
      <c r="AB357" s="8">
        <f>IF(X357&lt;0,X357*0,1)*X357</f>
        <v>2</v>
      </c>
      <c r="AC357" s="123">
        <f>Q357-(U357*V357)</f>
        <v>0</v>
      </c>
      <c r="AD357" s="12"/>
      <c r="AE357" s="36">
        <f>AE344</f>
        <v>1</v>
      </c>
      <c r="AF357" s="138">
        <f>VLOOKUP(AF344,'Lookup Tables'!$AB$22:$AC$31,2,FALSE)</f>
        <v>32</v>
      </c>
      <c r="AG357" s="140">
        <f>VLOOKUP(AQ344,'Lookup Tables'!$AB$32:$AC$41,2,FALSE)</f>
        <v>0</v>
      </c>
      <c r="AH357" s="125">
        <f>AC357-AG357</f>
        <v>0</v>
      </c>
      <c r="AI357" s="12">
        <f>IF(AH357&gt;0,1,0)</f>
        <v>0</v>
      </c>
      <c r="AJ357" s="15">
        <f>((('Rate Tables'!D89*9)*0.02778)/5)*AH357*AI357*F357*BA359</f>
        <v>0</v>
      </c>
      <c r="AK357" s="8">
        <f>AL344</f>
        <v>0</v>
      </c>
      <c r="AL357" s="18"/>
      <c r="AM357" s="8">
        <f>IF(AK357&lt;0,AK357*0,1)*AK357</f>
        <v>0</v>
      </c>
      <c r="AN357" s="123">
        <f>AC357-(AH357*AI357)</f>
        <v>0</v>
      </c>
      <c r="AO357" s="123"/>
      <c r="AP357" s="36">
        <f>AP344</f>
        <v>3</v>
      </c>
      <c r="AQ357" s="138">
        <f>VLOOKUP(AQ344,'Lookup Tables'!$AB$22:$AC$31,2,FALSE)</f>
        <v>0</v>
      </c>
      <c r="AR357" s="140">
        <v>0</v>
      </c>
      <c r="AS357" s="125">
        <f>AN357-AR357</f>
        <v>0</v>
      </c>
      <c r="AT357" s="12">
        <f>IF(AS357&gt;0,1,0)</f>
        <v>0</v>
      </c>
      <c r="AU357" s="15">
        <f>((('Rate Tables'!E89*9)*0.02778)/5)*AS357*AT357*F357*BA359</f>
        <v>0</v>
      </c>
      <c r="AV357" s="8">
        <f>AW344</f>
        <v>0</v>
      </c>
      <c r="AW357" s="18"/>
      <c r="AX357" s="19"/>
      <c r="AY357" s="19">
        <f>VLOOKUP(B340,'Lookup Tables'!$AK$22:$AM$24,2,0)</f>
        <v>0</v>
      </c>
      <c r="AZ357" s="12"/>
      <c r="BA357" s="308">
        <f>VLOOKUP(BB355,'Lookup Tables'!$AF$22:$AG$24,2,FALSE)</f>
        <v>0</v>
      </c>
      <c r="BB357" s="350"/>
      <c r="BC357" s="12"/>
      <c r="BD357" s="275"/>
      <c r="BE357" s="12"/>
    </row>
    <row r="358" spans="1:57" ht="13.5" customHeight="1" x14ac:dyDescent="0.25">
      <c r="A358" s="145"/>
      <c r="B358" s="12"/>
      <c r="C358" s="117" t="s">
        <v>597</v>
      </c>
      <c r="D358" s="12"/>
      <c r="E358" s="13" t="s">
        <v>84</v>
      </c>
      <c r="F358" s="13" t="s">
        <v>42</v>
      </c>
      <c r="G358" s="13" t="s">
        <v>41</v>
      </c>
      <c r="H358" s="65" t="s">
        <v>77</v>
      </c>
      <c r="I358" s="137" t="s">
        <v>105</v>
      </c>
      <c r="J358" s="139" t="s">
        <v>106</v>
      </c>
      <c r="K358" s="127" t="s">
        <v>99</v>
      </c>
      <c r="L358" s="13" t="s">
        <v>100</v>
      </c>
      <c r="M358" s="13" t="s">
        <v>82</v>
      </c>
      <c r="N358" s="13" t="s">
        <v>32</v>
      </c>
      <c r="O358" s="14" t="s">
        <v>69</v>
      </c>
      <c r="P358" s="13" t="s">
        <v>72</v>
      </c>
      <c r="Q358" s="13" t="s">
        <v>103</v>
      </c>
      <c r="R358" s="65" t="s">
        <v>77</v>
      </c>
      <c r="S358" s="137" t="s">
        <v>105</v>
      </c>
      <c r="T358" s="139" t="s">
        <v>106</v>
      </c>
      <c r="U358" s="12" t="s">
        <v>98</v>
      </c>
      <c r="V358" s="13" t="s">
        <v>100</v>
      </c>
      <c r="W358" s="13" t="s">
        <v>33</v>
      </c>
      <c r="X358" s="13" t="s">
        <v>69</v>
      </c>
      <c r="Y358" s="13"/>
      <c r="Z358" s="13"/>
      <c r="AA358" s="18"/>
      <c r="AB358" s="13" t="s">
        <v>72</v>
      </c>
      <c r="AC358" s="13" t="s">
        <v>104</v>
      </c>
      <c r="AD358" s="13"/>
      <c r="AE358" s="65" t="s">
        <v>77</v>
      </c>
      <c r="AF358" s="137" t="s">
        <v>105</v>
      </c>
      <c r="AG358" s="139" t="s">
        <v>106</v>
      </c>
      <c r="AH358" s="12" t="s">
        <v>98</v>
      </c>
      <c r="AI358" s="13" t="s">
        <v>100</v>
      </c>
      <c r="AJ358" s="13" t="s">
        <v>34</v>
      </c>
      <c r="AK358" s="13" t="s">
        <v>69</v>
      </c>
      <c r="AL358" s="18"/>
      <c r="AM358" s="13" t="s">
        <v>72</v>
      </c>
      <c r="AN358" s="13" t="s">
        <v>104</v>
      </c>
      <c r="AO358" s="13"/>
      <c r="AP358" s="65" t="s">
        <v>77</v>
      </c>
      <c r="AQ358" s="137" t="s">
        <v>105</v>
      </c>
      <c r="AR358" s="139" t="s">
        <v>106</v>
      </c>
      <c r="AS358" s="12" t="s">
        <v>98</v>
      </c>
      <c r="AT358" s="13" t="s">
        <v>100</v>
      </c>
      <c r="AU358" s="13" t="s">
        <v>34</v>
      </c>
      <c r="AV358" s="13" t="s">
        <v>69</v>
      </c>
      <c r="AW358" s="18"/>
      <c r="AX358" s="13"/>
      <c r="AY358" s="13"/>
      <c r="AZ358" s="12"/>
      <c r="BA358" s="227" t="s">
        <v>126</v>
      </c>
      <c r="BB358" s="349" t="s">
        <v>643</v>
      </c>
      <c r="BC358" s="276" t="s">
        <v>187</v>
      </c>
      <c r="BD358" s="286">
        <f>(((O363+O364+O365+AA363+AA364+AA365+AL363+AL364+AL365+AW363+AW364+AW365)*AY363)*BD359)*BB361</f>
        <v>0</v>
      </c>
      <c r="BE358" s="146"/>
    </row>
    <row r="359" spans="1:57" ht="13.5" customHeight="1" x14ac:dyDescent="0.25">
      <c r="A359" s="145"/>
      <c r="B359" s="12"/>
      <c r="C359" s="115"/>
      <c r="D359" s="12"/>
      <c r="E359" s="128">
        <f>E357</f>
        <v>0</v>
      </c>
      <c r="F359" s="19">
        <f>IF($D$4=2023,1,0)</f>
        <v>1</v>
      </c>
      <c r="G359" s="178">
        <f>IF($B$380="Yes",$C$5,$I379)</f>
        <v>12</v>
      </c>
      <c r="H359" s="36">
        <f>H346</f>
        <v>3</v>
      </c>
      <c r="I359" s="138">
        <f>VLOOKUP(J346,'Lookup Tables'!$AB$22:$AC$31,2,FALSE)</f>
        <v>32</v>
      </c>
      <c r="J359" s="140">
        <f>VLOOKUP(U346,'Lookup Tables'!$AB$32:$AC$41,2,FALSE)</f>
        <v>33</v>
      </c>
      <c r="K359" s="123">
        <f>E359-J359</f>
        <v>-33</v>
      </c>
      <c r="L359" s="12">
        <f>IF(K359&gt;0,1,0)</f>
        <v>0</v>
      </c>
      <c r="M359" s="119">
        <f>M346</f>
        <v>0</v>
      </c>
      <c r="N359" s="15">
        <f>((((('Rate Tables'!C89*9)*0.02778)/5)*K359)*L359)*F359*M359*BA359</f>
        <v>0</v>
      </c>
      <c r="O359" s="28">
        <f>O346</f>
        <v>12</v>
      </c>
      <c r="P359" s="8">
        <f>IF(O359&lt;0,O359*0,1)*O359</f>
        <v>12</v>
      </c>
      <c r="Q359" s="123">
        <f>(E359-K359*F359*L359*M359)</f>
        <v>0</v>
      </c>
      <c r="R359" s="36">
        <f>S346</f>
        <v>3</v>
      </c>
      <c r="S359" s="138">
        <f>VLOOKUP(U346,'Lookup Tables'!$AB$22:$AC$31,2,FALSE)</f>
        <v>32</v>
      </c>
      <c r="T359" s="140">
        <f>VLOOKUP(AF346,'Lookup Tables'!$AB$32:$AC$41,2,FALSE)</f>
        <v>33</v>
      </c>
      <c r="U359" s="129">
        <f>Q359-T359</f>
        <v>-33</v>
      </c>
      <c r="V359" s="12">
        <f>IF(U359&gt;0,1,0)</f>
        <v>0</v>
      </c>
      <c r="W359" s="15">
        <f>((('Rate Tables'!D89*9)*0.02778)/5)*U359*F359*V359*BA359</f>
        <v>0</v>
      </c>
      <c r="X359" s="8">
        <f>AA346</f>
        <v>2</v>
      </c>
      <c r="Y359" s="12"/>
      <c r="Z359" s="119"/>
      <c r="AA359" s="18"/>
      <c r="AB359" s="8">
        <f>IF(X359&lt;0,X359*0,1)*X359</f>
        <v>2</v>
      </c>
      <c r="AC359" s="123">
        <f>Q359-(U359*V359)</f>
        <v>0</v>
      </c>
      <c r="AD359" s="12"/>
      <c r="AE359" s="36">
        <f>AE346</f>
        <v>1</v>
      </c>
      <c r="AF359" s="138">
        <f>VLOOKUP(AF346,'Lookup Tables'!$AB$22:$AC$31,2,FALSE)</f>
        <v>32</v>
      </c>
      <c r="AG359" s="140">
        <f>VLOOKUP(AQ346,'Lookup Tables'!$AB$32:$AC$41,2,FALSE)</f>
        <v>0</v>
      </c>
      <c r="AH359" s="125">
        <f>AC359-AG359</f>
        <v>0</v>
      </c>
      <c r="AI359" s="12">
        <f>IF(AH359&gt;0,1,0)</f>
        <v>0</v>
      </c>
      <c r="AJ359" s="15">
        <f>((('Rate Tables'!E89*9)*0.02778)/5)*AH359*AI359*F359*BA359</f>
        <v>0</v>
      </c>
      <c r="AK359" s="8">
        <f>AL346</f>
        <v>0</v>
      </c>
      <c r="AL359" s="18"/>
      <c r="AM359" s="8">
        <f>IF(AK359&lt;0,AK359*0,1)*AK359</f>
        <v>0</v>
      </c>
      <c r="AN359" s="123">
        <f>AC359-(AH359*AI359)</f>
        <v>0</v>
      </c>
      <c r="AO359" s="12"/>
      <c r="AP359" s="36">
        <f>AP346</f>
        <v>3</v>
      </c>
      <c r="AQ359" s="138">
        <f>VLOOKUP(AQ346,'Lookup Tables'!$AB$22:$AC$31,2,FALSE)</f>
        <v>0</v>
      </c>
      <c r="AR359" s="140">
        <v>0</v>
      </c>
      <c r="AS359" s="125">
        <f>AN359-AR359</f>
        <v>0</v>
      </c>
      <c r="AT359" s="12">
        <f>IF(AS359&gt;0,1,0)</f>
        <v>0</v>
      </c>
      <c r="AU359" s="15">
        <f>((('Rate Tables'!F89*9)*0.02778)/5)*AS359*AT359*F359*BA359</f>
        <v>0</v>
      </c>
      <c r="AV359" s="8">
        <f>AW346</f>
        <v>0</v>
      </c>
      <c r="AW359" s="18"/>
      <c r="AX359" s="19"/>
      <c r="AY359" s="19"/>
      <c r="AZ359" s="12"/>
      <c r="BA359" s="319">
        <f>VLOOKUP(BB355,'Lookup Tables'!$AF$26:$AG$28,2,0)</f>
        <v>0</v>
      </c>
      <c r="BB359" s="350" t="s">
        <v>644</v>
      </c>
      <c r="BC359" s="227" t="s">
        <v>582</v>
      </c>
      <c r="BD359" s="663">
        <f>IF(BD355&gt;0,1,0)</f>
        <v>0</v>
      </c>
      <c r="BE359" s="12"/>
    </row>
    <row r="360" spans="1:57" ht="13.5" customHeight="1" x14ac:dyDescent="0.25">
      <c r="A360" s="145"/>
      <c r="B360" s="12"/>
      <c r="C360" s="117" t="s">
        <v>664</v>
      </c>
      <c r="D360" s="12"/>
      <c r="E360" s="13" t="s">
        <v>84</v>
      </c>
      <c r="F360" s="13" t="s">
        <v>42</v>
      </c>
      <c r="G360" s="13" t="s">
        <v>41</v>
      </c>
      <c r="H360" s="65" t="s">
        <v>77</v>
      </c>
      <c r="I360" s="137" t="s">
        <v>105</v>
      </c>
      <c r="J360" s="139" t="s">
        <v>106</v>
      </c>
      <c r="K360" s="127" t="s">
        <v>99</v>
      </c>
      <c r="L360" s="13" t="s">
        <v>100</v>
      </c>
      <c r="M360" s="13" t="s">
        <v>82</v>
      </c>
      <c r="N360" s="13" t="s">
        <v>32</v>
      </c>
      <c r="O360" s="14" t="s">
        <v>69</v>
      </c>
      <c r="P360" s="13" t="s">
        <v>72</v>
      </c>
      <c r="Q360" s="13" t="s">
        <v>103</v>
      </c>
      <c r="R360" s="65" t="s">
        <v>77</v>
      </c>
      <c r="S360" s="137" t="s">
        <v>105</v>
      </c>
      <c r="T360" s="139" t="s">
        <v>106</v>
      </c>
      <c r="U360" s="12" t="s">
        <v>98</v>
      </c>
      <c r="V360" s="13" t="s">
        <v>100</v>
      </c>
      <c r="W360" s="13" t="s">
        <v>33</v>
      </c>
      <c r="X360" s="13" t="s">
        <v>69</v>
      </c>
      <c r="Y360" s="13"/>
      <c r="Z360" s="13"/>
      <c r="AA360" s="18"/>
      <c r="AB360" s="13" t="s">
        <v>72</v>
      </c>
      <c r="AC360" s="13" t="s">
        <v>104</v>
      </c>
      <c r="AD360" s="13"/>
      <c r="AE360" s="65" t="s">
        <v>77</v>
      </c>
      <c r="AF360" s="137" t="s">
        <v>105</v>
      </c>
      <c r="AG360" s="139" t="s">
        <v>106</v>
      </c>
      <c r="AH360" s="12" t="s">
        <v>98</v>
      </c>
      <c r="AI360" s="13" t="s">
        <v>100</v>
      </c>
      <c r="AJ360" s="13" t="s">
        <v>34</v>
      </c>
      <c r="AK360" s="13" t="s">
        <v>69</v>
      </c>
      <c r="AL360" s="18"/>
      <c r="AM360" s="13" t="s">
        <v>72</v>
      </c>
      <c r="AN360" s="13" t="s">
        <v>104</v>
      </c>
      <c r="AO360" s="13"/>
      <c r="AP360" s="65" t="s">
        <v>77</v>
      </c>
      <c r="AQ360" s="137" t="s">
        <v>105</v>
      </c>
      <c r="AR360" s="139" t="s">
        <v>106</v>
      </c>
      <c r="AS360" s="12" t="s">
        <v>98</v>
      </c>
      <c r="AT360" s="13" t="s">
        <v>100</v>
      </c>
      <c r="AU360" s="13" t="s">
        <v>34</v>
      </c>
      <c r="AV360" s="13" t="s">
        <v>69</v>
      </c>
      <c r="AW360" s="18"/>
      <c r="AX360" s="19"/>
      <c r="AY360" s="19"/>
      <c r="AZ360" s="12"/>
      <c r="BA360" s="227"/>
      <c r="BB360" s="358" t="str">
        <f>IF(BB355="50% sum","no",Personnel!O102)</f>
        <v>No</v>
      </c>
      <c r="BC360" s="12"/>
      <c r="BD360" s="275"/>
      <c r="BE360" s="12"/>
    </row>
    <row r="361" spans="1:57" ht="13.5" customHeight="1" x14ac:dyDescent="0.25">
      <c r="A361" s="145"/>
      <c r="B361" s="12"/>
      <c r="C361" s="115"/>
      <c r="D361" s="12"/>
      <c r="E361" s="128">
        <f>E359</f>
        <v>0</v>
      </c>
      <c r="F361" s="19">
        <f>IF($D$4=2024,1,0)</f>
        <v>0</v>
      </c>
      <c r="G361" s="178">
        <f>IF($B$380="Yes",$C$5,$I379)</f>
        <v>12</v>
      </c>
      <c r="H361" s="36">
        <f>H348</f>
        <v>3</v>
      </c>
      <c r="I361" s="138">
        <f>VLOOKUP(J348,'Lookup Tables'!$AB$22:$AC$31,2,FALSE)</f>
        <v>32</v>
      </c>
      <c r="J361" s="140">
        <f>VLOOKUP(U348,'Lookup Tables'!$AB$32:$AC$41,2,FALSE)</f>
        <v>33</v>
      </c>
      <c r="K361" s="123">
        <f>E361-J361</f>
        <v>-33</v>
      </c>
      <c r="L361" s="12">
        <f>IF(K361&gt;0,1,0)</f>
        <v>0</v>
      </c>
      <c r="M361" s="119">
        <f>M348</f>
        <v>0</v>
      </c>
      <c r="N361" s="15">
        <f>((((('Rate Tables'!D89*9)*0.02778)/5)*K361)*L361)*F361*M361*BA361</f>
        <v>0</v>
      </c>
      <c r="O361" s="28">
        <f>O348</f>
        <v>12</v>
      </c>
      <c r="P361" s="8">
        <f>IF(O361&lt;0,O361*0,1)*O361</f>
        <v>12</v>
      </c>
      <c r="Q361" s="123">
        <f>(E361-K361*F361*L361*M361)</f>
        <v>0</v>
      </c>
      <c r="R361" s="36">
        <f>S348</f>
        <v>3</v>
      </c>
      <c r="S361" s="138">
        <f>VLOOKUP(U348,'Lookup Tables'!$AB$22:$AC$31,2,FALSE)</f>
        <v>32</v>
      </c>
      <c r="T361" s="140">
        <f>VLOOKUP(AF348,'Lookup Tables'!$AB$32:$AC$41,2,FALSE)</f>
        <v>33</v>
      </c>
      <c r="U361" s="129">
        <f>Q361-T361</f>
        <v>-33</v>
      </c>
      <c r="V361" s="12">
        <f>IF(U361&gt;0,1,0)</f>
        <v>0</v>
      </c>
      <c r="W361" s="15">
        <f>((('Rate Tables'!E89*9)*0.02778)/5)*U361*F361*V361*BA359</f>
        <v>0</v>
      </c>
      <c r="X361" s="8">
        <f>AA348</f>
        <v>2</v>
      </c>
      <c r="Y361" s="12"/>
      <c r="Z361" s="119"/>
      <c r="AA361" s="18"/>
      <c r="AB361" s="8">
        <f>IF(X361&lt;0,X361*0,1)*X361</f>
        <v>2</v>
      </c>
      <c r="AC361" s="123">
        <f>Q361-(U361*V361)</f>
        <v>0</v>
      </c>
      <c r="AD361" s="12"/>
      <c r="AE361" s="36">
        <f>AE348</f>
        <v>1</v>
      </c>
      <c r="AF361" s="138">
        <f>VLOOKUP(AF348,'Lookup Tables'!$AB$22:$AC$31,2,FALSE)</f>
        <v>32</v>
      </c>
      <c r="AG361" s="140">
        <f>VLOOKUP(AQ348,'Lookup Tables'!$AB$32:$AC$41,2,FALSE)</f>
        <v>0</v>
      </c>
      <c r="AH361" s="125">
        <f>AC361-AG361</f>
        <v>0</v>
      </c>
      <c r="AI361" s="12">
        <f>IF(AH361&gt;0,1,0)</f>
        <v>0</v>
      </c>
      <c r="AJ361" s="15">
        <f>((('Rate Tables'!F89*9)*0.02778)/5)*AH361*AI361*F361*BA359</f>
        <v>0</v>
      </c>
      <c r="AK361" s="8">
        <f>AL348</f>
        <v>0</v>
      </c>
      <c r="AL361" s="18"/>
      <c r="AM361" s="8">
        <f>IF(AK361&lt;0,AK361*0,1)*AK361</f>
        <v>0</v>
      </c>
      <c r="AN361" s="123">
        <f>AC361-(AH361*AI361)</f>
        <v>0</v>
      </c>
      <c r="AO361" s="12"/>
      <c r="AP361" s="36">
        <f>AP348</f>
        <v>3</v>
      </c>
      <c r="AQ361" s="138">
        <f>VLOOKUP(AQ348,'Lookup Tables'!$AB$22:$AC$31,2,FALSE)</f>
        <v>0</v>
      </c>
      <c r="AR361" s="140">
        <v>0</v>
      </c>
      <c r="AS361" s="125">
        <f>AN361-AR361</f>
        <v>0</v>
      </c>
      <c r="AT361" s="12">
        <f>IF(AS361&gt;0,1,0)</f>
        <v>0</v>
      </c>
      <c r="AU361" s="15">
        <f>((('Rate Tables'!G89*9)*0.02778)/5)*AS361*AT361*F361*BA359</f>
        <v>0</v>
      </c>
      <c r="AV361" s="8">
        <f>AW348</f>
        <v>0</v>
      </c>
      <c r="AW361" s="18"/>
      <c r="AX361" s="19"/>
      <c r="AY361" s="19"/>
      <c r="AZ361" s="12"/>
      <c r="BA361" s="227"/>
      <c r="BB361" s="349">
        <f>IF(BB360="yes",0.5,1)</f>
        <v>1</v>
      </c>
      <c r="BC361" s="12"/>
      <c r="BD361" s="275"/>
      <c r="BE361" s="12"/>
    </row>
    <row r="362" spans="1:57" ht="13.5" customHeight="1" x14ac:dyDescent="0.25">
      <c r="A362" s="145"/>
      <c r="B362" s="12"/>
      <c r="C362" s="114"/>
      <c r="D362" s="12"/>
      <c r="E362" s="12"/>
      <c r="F362" s="12"/>
      <c r="G362" s="12"/>
      <c r="H362" s="12"/>
      <c r="I362" s="12" t="s">
        <v>641</v>
      </c>
      <c r="J362" s="12" t="s">
        <v>642</v>
      </c>
      <c r="K362" s="12" t="s">
        <v>164</v>
      </c>
      <c r="L362" s="13" t="s">
        <v>165</v>
      </c>
      <c r="M362" s="608" t="s">
        <v>128</v>
      </c>
      <c r="N362" s="147" t="s">
        <v>129</v>
      </c>
      <c r="O362" s="135" t="s">
        <v>130</v>
      </c>
      <c r="P362" s="12"/>
      <c r="Q362" s="12"/>
      <c r="R362" s="12"/>
      <c r="S362" s="12"/>
      <c r="T362" s="12"/>
      <c r="U362" s="12"/>
      <c r="V362" s="12" t="s">
        <v>166</v>
      </c>
      <c r="W362" s="12" t="s">
        <v>163</v>
      </c>
      <c r="X362" s="13" t="s">
        <v>165</v>
      </c>
      <c r="Y362" s="650" t="s">
        <v>128</v>
      </c>
      <c r="Z362" s="13" t="s">
        <v>129</v>
      </c>
      <c r="AA362" s="135" t="s">
        <v>130</v>
      </c>
      <c r="AB362" s="12"/>
      <c r="AC362" s="12"/>
      <c r="AD362" s="12"/>
      <c r="AE362" s="12"/>
      <c r="AF362" s="12"/>
      <c r="AG362" s="12" t="s">
        <v>166</v>
      </c>
      <c r="AH362" s="12" t="s">
        <v>163</v>
      </c>
      <c r="AI362" s="13" t="s">
        <v>165</v>
      </c>
      <c r="AJ362" s="650" t="s">
        <v>128</v>
      </c>
      <c r="AK362" s="13" t="s">
        <v>129</v>
      </c>
      <c r="AL362" s="135" t="s">
        <v>130</v>
      </c>
      <c r="AN362" s="13"/>
      <c r="AO362" s="13"/>
      <c r="AP362" s="13"/>
      <c r="AQ362" s="13"/>
      <c r="AR362" s="12" t="s">
        <v>166</v>
      </c>
      <c r="AS362" s="12" t="s">
        <v>163</v>
      </c>
      <c r="AT362" s="13" t="s">
        <v>165</v>
      </c>
      <c r="AU362" s="650" t="s">
        <v>128</v>
      </c>
      <c r="AV362" s="13" t="s">
        <v>129</v>
      </c>
      <c r="AW362" s="135" t="s">
        <v>130</v>
      </c>
      <c r="AX362" s="13"/>
      <c r="AY362" s="13" t="s">
        <v>159</v>
      </c>
      <c r="AZ362" s="12"/>
      <c r="BA362" s="227"/>
      <c r="BB362" s="350"/>
      <c r="BC362" s="12"/>
      <c r="BD362" s="275"/>
      <c r="BE362" s="12"/>
    </row>
    <row r="363" spans="1:57" ht="13.5" customHeight="1" x14ac:dyDescent="0.25">
      <c r="A363" s="145"/>
      <c r="B363" s="12"/>
      <c r="C363" s="114"/>
      <c r="D363" s="12"/>
      <c r="E363" s="12"/>
      <c r="F363" s="12"/>
      <c r="G363" s="12"/>
      <c r="H363" s="12"/>
      <c r="I363" s="12">
        <f>G344</f>
        <v>12</v>
      </c>
      <c r="J363" s="125">
        <f>BA351</f>
        <v>9</v>
      </c>
      <c r="K363" s="758">
        <f>I363-J363</f>
        <v>3</v>
      </c>
      <c r="L363" s="123">
        <f>V363</f>
        <v>0</v>
      </c>
      <c r="M363" s="609">
        <f>IF(M366&lt;=0,0,ROUNDUP(M366,0))</f>
        <v>3</v>
      </c>
      <c r="N363" s="161">
        <f>'Rate Tables'!$P$17</f>
        <v>910</v>
      </c>
      <c r="O363" s="136">
        <f>(M363*N363)*F357*M357</f>
        <v>0</v>
      </c>
      <c r="P363" s="12"/>
      <c r="Q363" s="12"/>
      <c r="R363" s="12"/>
      <c r="S363" s="12"/>
      <c r="T363" s="12"/>
      <c r="U363" s="12"/>
      <c r="V363" s="12">
        <f>VLOOKUP((U357*V357),'Lookup Tables'!$E$38:$F$103,2,0)</f>
        <v>0</v>
      </c>
      <c r="W363" s="12">
        <f>K363-(M363*M357)</f>
        <v>3</v>
      </c>
      <c r="X363" s="119">
        <f>AG363</f>
        <v>0</v>
      </c>
      <c r="Y363" s="609">
        <f>IF(Y366&lt;=0,0,ROUNDUP(Y366,0))</f>
        <v>3</v>
      </c>
      <c r="Z363" s="129">
        <f>'Rate Tables'!$P$18</f>
        <v>910</v>
      </c>
      <c r="AA363" s="136">
        <f>Y363*Z363*F357*V357</f>
        <v>0</v>
      </c>
      <c r="AB363" s="12"/>
      <c r="AC363" s="12"/>
      <c r="AD363" s="12"/>
      <c r="AE363" s="12"/>
      <c r="AF363" s="12"/>
      <c r="AG363" s="12">
        <f>VLOOKUP(AH357,'Lookup Tables'!$E$38:$F$103,2,0)</f>
        <v>0</v>
      </c>
      <c r="AH363" s="125">
        <f>W363-(Y363*V357)</f>
        <v>3</v>
      </c>
      <c r="AI363" s="119">
        <f>AR363</f>
        <v>0</v>
      </c>
      <c r="AJ363" s="609">
        <f>IF(AJ366&lt;=0,0,ROUNDUP(AJ366,0))</f>
        <v>3</v>
      </c>
      <c r="AK363" s="129">
        <f>'Rate Tables'!$P$19</f>
        <v>910</v>
      </c>
      <c r="AL363" s="136">
        <f>AJ363*AK363*F357*AI357</f>
        <v>0</v>
      </c>
      <c r="AN363" s="19"/>
      <c r="AO363" s="19"/>
      <c r="AP363" s="19"/>
      <c r="AQ363" s="19"/>
      <c r="AR363" s="12">
        <f>VLOOKUP((AS357*AT357),'Lookup Tables'!$E$38:$F$103,2,0)</f>
        <v>0</v>
      </c>
      <c r="AS363" s="125">
        <f>AH363-(AJ363*AI357)</f>
        <v>3</v>
      </c>
      <c r="AT363" s="119">
        <v>0</v>
      </c>
      <c r="AU363" s="609">
        <f>IF(AU366&lt;=0,0,ROUNDUP(AU366,0))</f>
        <v>3</v>
      </c>
      <c r="AV363" s="129">
        <f>'Rate Tables'!$P$20</f>
        <v>928.2</v>
      </c>
      <c r="AW363" s="136">
        <f>AU363*AV363*F357*AT357</f>
        <v>0</v>
      </c>
      <c r="AX363" s="19"/>
      <c r="AY363" s="19">
        <f>VLOOKUP(B340,'Lookup Tables'!$AK$22:$AM$24,2,0)</f>
        <v>0</v>
      </c>
      <c r="AZ363" s="12"/>
      <c r="BA363" s="307"/>
      <c r="BB363" s="358"/>
      <c r="BC363" s="12"/>
      <c r="BD363" s="287"/>
      <c r="BE363" s="125"/>
    </row>
    <row r="364" spans="1:57" ht="13.5" customHeight="1" x14ac:dyDescent="0.25">
      <c r="A364" s="145"/>
      <c r="B364" s="12"/>
      <c r="C364" s="114"/>
      <c r="D364" s="12"/>
      <c r="E364" s="12"/>
      <c r="F364" s="12"/>
      <c r="G364" s="12"/>
      <c r="H364" s="12"/>
      <c r="I364" s="12">
        <f>G346</f>
        <v>12</v>
      </c>
      <c r="J364" s="125">
        <f>J363</f>
        <v>9</v>
      </c>
      <c r="K364" s="758">
        <f t="shared" ref="K364:K365" si="24">I364-J364</f>
        <v>3</v>
      </c>
      <c r="L364" s="123">
        <f>V364</f>
        <v>0</v>
      </c>
      <c r="M364" s="609">
        <f t="shared" ref="M364:M365" si="25">IF(M367&lt;=0,0,ROUNDUP(M367,0))</f>
        <v>3</v>
      </c>
      <c r="N364" s="161">
        <f>'Rate Tables'!$P$18</f>
        <v>910</v>
      </c>
      <c r="O364" s="136">
        <f>(M364*N364)*F359*M359</f>
        <v>0</v>
      </c>
      <c r="P364" s="12"/>
      <c r="Q364" s="12"/>
      <c r="R364" s="12"/>
      <c r="S364" s="12"/>
      <c r="T364" s="12"/>
      <c r="U364" s="12"/>
      <c r="V364" s="12">
        <f>VLOOKUP((U359*V359),'Lookup Tables'!$E$38:$F$103,2,0)</f>
        <v>0</v>
      </c>
      <c r="W364" s="12">
        <f>K364-(M364*M359)</f>
        <v>3</v>
      </c>
      <c r="X364" s="119">
        <f>AG364</f>
        <v>0</v>
      </c>
      <c r="Y364" s="609">
        <f t="shared" ref="Y364:Y365" si="26">IF(Y367&lt;=0,0,ROUNDUP(Y367,0))</f>
        <v>3</v>
      </c>
      <c r="Z364" s="129">
        <f>'Rate Tables'!$P$19</f>
        <v>910</v>
      </c>
      <c r="AA364" s="136">
        <f>Y364*Z364*F359*V359</f>
        <v>0</v>
      </c>
      <c r="AB364" s="12"/>
      <c r="AC364" s="12"/>
      <c r="AD364" s="12"/>
      <c r="AE364" s="12"/>
      <c r="AF364" s="12"/>
      <c r="AG364" s="12">
        <f>VLOOKUP(AH359,'Lookup Tables'!$E$38:$F$103,2,0)</f>
        <v>0</v>
      </c>
      <c r="AH364" s="125">
        <f>W364-(Y364*V359)</f>
        <v>3</v>
      </c>
      <c r="AI364" s="119">
        <f>AR364</f>
        <v>0</v>
      </c>
      <c r="AJ364" s="609">
        <f t="shared" ref="AJ364:AJ365" si="27">IF(AJ367&lt;=0,0,ROUNDUP(AJ367,0))</f>
        <v>3</v>
      </c>
      <c r="AK364" s="129">
        <f>'Rate Tables'!$P$20</f>
        <v>928.2</v>
      </c>
      <c r="AL364" s="136">
        <f>AJ364*AK364*F359*AI359</f>
        <v>0</v>
      </c>
      <c r="AN364" s="19"/>
      <c r="AO364" s="19"/>
      <c r="AP364" s="19"/>
      <c r="AQ364" s="19"/>
      <c r="AR364" s="12">
        <f>VLOOKUP((AS359*AT359),'Lookup Tables'!$E$38:$F$103,2,0)</f>
        <v>0</v>
      </c>
      <c r="AS364" s="125">
        <f>AH364-(AJ364*AI359)</f>
        <v>3</v>
      </c>
      <c r="AT364" s="119">
        <v>0</v>
      </c>
      <c r="AU364" s="609">
        <f t="shared" ref="AU364:AU365" si="28">IF(AU367&lt;=0,0,ROUNDUP(AU367,0))</f>
        <v>3</v>
      </c>
      <c r="AV364" s="129">
        <f>'Rate Tables'!$P$21</f>
        <v>946.76</v>
      </c>
      <c r="AW364" s="737">
        <f>AU364*AV364*F359*AT359</f>
        <v>0</v>
      </c>
      <c r="AX364" s="19"/>
      <c r="AY364" s="19"/>
      <c r="AZ364" s="12"/>
      <c r="BA364" s="307"/>
      <c r="BB364" s="349"/>
      <c r="BC364" s="12"/>
      <c r="BD364" s="275"/>
      <c r="BE364" s="12"/>
    </row>
    <row r="365" spans="1:57" ht="13.5" customHeight="1" x14ac:dyDescent="0.25">
      <c r="A365" s="145"/>
      <c r="B365" s="12"/>
      <c r="C365" s="114"/>
      <c r="D365" s="12"/>
      <c r="E365" s="12"/>
      <c r="F365" s="12"/>
      <c r="G365" s="12"/>
      <c r="H365" s="12"/>
      <c r="I365" s="12">
        <f>G348</f>
        <v>12</v>
      </c>
      <c r="J365" s="125">
        <f>J364</f>
        <v>9</v>
      </c>
      <c r="K365" s="758">
        <f t="shared" si="24"/>
        <v>3</v>
      </c>
      <c r="L365" s="123">
        <f>V365</f>
        <v>0</v>
      </c>
      <c r="M365" s="609">
        <f t="shared" si="25"/>
        <v>3</v>
      </c>
      <c r="N365" s="161">
        <f>'Rate Tables'!$P$19</f>
        <v>910</v>
      </c>
      <c r="O365" s="136">
        <f>(M365*N365)*F361*M361</f>
        <v>0</v>
      </c>
      <c r="P365" s="12"/>
      <c r="Q365" s="12"/>
      <c r="R365" s="12"/>
      <c r="S365" s="12"/>
      <c r="T365" s="12"/>
      <c r="U365" s="12"/>
      <c r="V365" s="12">
        <f>VLOOKUP((U361*V361),'Lookup Tables'!$E$38:$F$103,2,0)</f>
        <v>0</v>
      </c>
      <c r="W365" s="12">
        <f>K365-(M365*M361)</f>
        <v>3</v>
      </c>
      <c r="X365" s="119">
        <f>AG365</f>
        <v>0</v>
      </c>
      <c r="Y365" s="609">
        <f t="shared" si="26"/>
        <v>3</v>
      </c>
      <c r="Z365" s="129">
        <f>'Rate Tables'!$P$20</f>
        <v>928.2</v>
      </c>
      <c r="AA365" s="136">
        <f>Y365*Z365*F361*V361</f>
        <v>0</v>
      </c>
      <c r="AB365" s="12"/>
      <c r="AC365" s="12"/>
      <c r="AD365" s="12"/>
      <c r="AE365" s="12"/>
      <c r="AF365" s="12"/>
      <c r="AG365" s="12">
        <f>VLOOKUP(AH361,'Lookup Tables'!$E$38:$F$103,2,0)</f>
        <v>0</v>
      </c>
      <c r="AH365" s="125">
        <f>W365-(Y365*V361)</f>
        <v>3</v>
      </c>
      <c r="AI365" s="119">
        <f>AR365</f>
        <v>0</v>
      </c>
      <c r="AJ365" s="609">
        <f t="shared" si="27"/>
        <v>3</v>
      </c>
      <c r="AK365" s="129">
        <f>'Rate Tables'!$P$21</f>
        <v>946.76</v>
      </c>
      <c r="AL365" s="736">
        <f>AJ365*AK365*F361*AI361</f>
        <v>0</v>
      </c>
      <c r="AN365" s="19"/>
      <c r="AO365" s="19"/>
      <c r="AP365" s="19"/>
      <c r="AQ365" s="19"/>
      <c r="AR365" s="12">
        <f>VLOOKUP((AS361*AT361),'Lookup Tables'!$E$38:$F$103,2,0)</f>
        <v>0</v>
      </c>
      <c r="AS365" s="123">
        <f>AH365-(AJ365*AI361)</f>
        <v>3</v>
      </c>
      <c r="AT365" s="119">
        <v>0</v>
      </c>
      <c r="AU365" s="609">
        <f t="shared" si="28"/>
        <v>3</v>
      </c>
      <c r="AV365" s="129">
        <f>'Rate Tables'!$P$22</f>
        <v>965.7</v>
      </c>
      <c r="AW365" s="136">
        <f>AU365*AV365*F361*AT361</f>
        <v>0</v>
      </c>
      <c r="AX365" s="19"/>
      <c r="AY365" s="19"/>
      <c r="AZ365" s="12"/>
      <c r="BA365" s="307"/>
      <c r="BB365" s="349"/>
      <c r="BC365" s="12"/>
      <c r="BD365" s="275"/>
      <c r="BE365" s="12"/>
    </row>
    <row r="366" spans="1:57" ht="13.5" customHeight="1" x14ac:dyDescent="0.25">
      <c r="A366" s="145"/>
      <c r="B366" s="12"/>
      <c r="C366" s="114"/>
      <c r="D366" s="12"/>
      <c r="E366" s="12"/>
      <c r="F366" s="12"/>
      <c r="G366" s="12"/>
      <c r="H366" s="12"/>
      <c r="I366" s="12"/>
      <c r="J366" s="12"/>
      <c r="K366" s="12"/>
      <c r="L366" s="123"/>
      <c r="M366" s="648">
        <f>K363-L363</f>
        <v>3</v>
      </c>
      <c r="N366" s="129"/>
      <c r="O366" s="125"/>
      <c r="P366" s="12"/>
      <c r="Q366" s="12"/>
      <c r="R366" s="12"/>
      <c r="S366" s="12"/>
      <c r="T366" s="12"/>
      <c r="U366" s="12"/>
      <c r="V366" s="12"/>
      <c r="W366" s="12"/>
      <c r="X366" s="119"/>
      <c r="Y366" s="651">
        <f>W363-X363</f>
        <v>3</v>
      </c>
      <c r="Z366" s="129"/>
      <c r="AA366" s="125"/>
      <c r="AB366" s="12"/>
      <c r="AC366" s="12"/>
      <c r="AD366" s="12"/>
      <c r="AE366" s="12"/>
      <c r="AF366" s="12"/>
      <c r="AG366" s="12"/>
      <c r="AH366" s="125"/>
      <c r="AI366" s="119"/>
      <c r="AJ366" s="651">
        <f>AH363-AI363</f>
        <v>3</v>
      </c>
      <c r="AK366" s="129"/>
      <c r="AL366" s="125"/>
      <c r="AN366" s="19"/>
      <c r="AO366" s="19"/>
      <c r="AP366" s="19"/>
      <c r="AQ366" s="19"/>
      <c r="AR366" s="12"/>
      <c r="AS366" s="123"/>
      <c r="AT366" s="119"/>
      <c r="AU366" s="735">
        <f>AS363-AT363</f>
        <v>3</v>
      </c>
      <c r="AV366" s="129"/>
      <c r="AW366" s="125"/>
      <c r="AX366" s="19"/>
      <c r="AY366" s="19"/>
      <c r="AZ366" s="12"/>
      <c r="BA366" s="307"/>
      <c r="BB366" s="349"/>
      <c r="BC366" s="12"/>
      <c r="BD366" s="275"/>
      <c r="BE366" s="12"/>
    </row>
    <row r="367" spans="1:57" ht="13.5" customHeight="1" x14ac:dyDescent="0.25">
      <c r="A367" s="145"/>
      <c r="B367" s="12"/>
      <c r="C367" s="114"/>
      <c r="D367" s="12"/>
      <c r="E367" s="12"/>
      <c r="F367" s="12"/>
      <c r="G367" s="12" t="s">
        <v>584</v>
      </c>
      <c r="H367" s="12"/>
      <c r="I367" s="12"/>
      <c r="J367" s="12"/>
      <c r="K367" s="12"/>
      <c r="L367" s="123"/>
      <c r="M367" s="648">
        <f>K364-L364</f>
        <v>3</v>
      </c>
      <c r="N367" s="129"/>
      <c r="O367" s="125"/>
      <c r="P367" s="12"/>
      <c r="Q367" s="12"/>
      <c r="R367" s="12"/>
      <c r="S367" s="12"/>
      <c r="T367" s="12"/>
      <c r="U367" s="12"/>
      <c r="V367" s="12"/>
      <c r="W367" s="12"/>
      <c r="X367" s="119"/>
      <c r="Y367" s="651">
        <f>W364-X364</f>
        <v>3</v>
      </c>
      <c r="Z367" s="129"/>
      <c r="AA367" s="125"/>
      <c r="AB367" s="12"/>
      <c r="AC367" s="12"/>
      <c r="AD367" s="12"/>
      <c r="AE367" s="12"/>
      <c r="AF367" s="12"/>
      <c r="AG367" s="12"/>
      <c r="AH367" s="125"/>
      <c r="AI367" s="119"/>
      <c r="AJ367" s="651">
        <f>AH363-AI363</f>
        <v>3</v>
      </c>
      <c r="AK367" s="129"/>
      <c r="AL367" s="125"/>
      <c r="AN367" s="19"/>
      <c r="AO367" s="19"/>
      <c r="AP367" s="19"/>
      <c r="AQ367" s="19"/>
      <c r="AR367" s="12"/>
      <c r="AS367" s="123"/>
      <c r="AT367" s="119"/>
      <c r="AU367" s="651">
        <f>AS364-AT364</f>
        <v>3</v>
      </c>
      <c r="AV367" s="129"/>
      <c r="AW367" s="125"/>
      <c r="AX367" s="19"/>
      <c r="AY367" s="19"/>
      <c r="AZ367" s="12"/>
      <c r="BA367" s="307"/>
      <c r="BB367" s="349"/>
      <c r="BC367" s="12"/>
      <c r="BD367" s="275"/>
      <c r="BE367" s="12"/>
    </row>
    <row r="368" spans="1:57" ht="13.5" customHeight="1" x14ac:dyDescent="0.25">
      <c r="A368" s="145"/>
      <c r="B368" s="162"/>
      <c r="C368" s="115">
        <f>(B342*12)*2</f>
        <v>0</v>
      </c>
      <c r="D368" s="115"/>
      <c r="E368" s="126"/>
      <c r="F368" s="126"/>
      <c r="G368" s="12"/>
      <c r="H368" s="12"/>
      <c r="I368" s="12"/>
      <c r="J368" s="12"/>
      <c r="K368" s="12"/>
      <c r="L368" s="12"/>
      <c r="M368" s="649">
        <f>K365-L365</f>
        <v>3</v>
      </c>
      <c r="N368" s="12"/>
      <c r="O368" s="12"/>
      <c r="P368" s="12"/>
      <c r="Q368" s="12"/>
      <c r="R368" s="12"/>
      <c r="S368" s="12"/>
      <c r="T368" s="12"/>
      <c r="U368" s="12"/>
      <c r="V368" s="12"/>
      <c r="W368" s="12"/>
      <c r="X368" s="12"/>
      <c r="Y368" s="652">
        <f>W365-X365</f>
        <v>3</v>
      </c>
      <c r="Z368" s="12"/>
      <c r="AA368" s="12"/>
      <c r="AB368" s="12"/>
      <c r="AC368" s="12"/>
      <c r="AD368" s="12"/>
      <c r="AE368" s="12"/>
      <c r="AF368" s="12"/>
      <c r="AG368" s="12"/>
      <c r="AH368" s="12"/>
      <c r="AI368" s="12"/>
      <c r="AJ368" s="652">
        <f>AH364-AI364</f>
        <v>3</v>
      </c>
      <c r="AK368" s="12"/>
      <c r="AL368" s="12"/>
      <c r="AN368" s="19"/>
      <c r="AO368" s="19"/>
      <c r="AP368" s="19"/>
      <c r="AQ368" s="19"/>
      <c r="AR368" s="12"/>
      <c r="AS368" s="125"/>
      <c r="AT368" s="119"/>
      <c r="AU368" s="652">
        <f>AS365-AT365</f>
        <v>3</v>
      </c>
      <c r="AV368" s="129"/>
      <c r="AW368" s="125"/>
      <c r="AX368" s="12"/>
      <c r="AY368" s="12"/>
      <c r="AZ368" s="12"/>
      <c r="BA368" s="306" t="s">
        <v>413</v>
      </c>
      <c r="BB368" s="348">
        <f>Personnel!O98</f>
        <v>0</v>
      </c>
      <c r="BC368" s="276" t="s">
        <v>416</v>
      </c>
      <c r="BD368" s="285">
        <f>(M370+M372+M374+W370+W372+W374+AI370+AI372+AI374+AT370+AT372+AT374)*AY370</f>
        <v>0</v>
      </c>
      <c r="BE368" s="15"/>
    </row>
    <row r="369" spans="1:57" ht="13.5" customHeight="1" x14ac:dyDescent="0.25">
      <c r="A369" s="145"/>
      <c r="B369" s="12"/>
      <c r="C369" s="117" t="s">
        <v>30</v>
      </c>
      <c r="D369" s="117"/>
      <c r="E369" s="13"/>
      <c r="F369" s="13" t="s">
        <v>42</v>
      </c>
      <c r="G369" s="13" t="s">
        <v>41</v>
      </c>
      <c r="H369" s="65" t="s">
        <v>77</v>
      </c>
      <c r="I369" s="150" t="s">
        <v>50</v>
      </c>
      <c r="J369" s="13" t="s">
        <v>52</v>
      </c>
      <c r="K369" s="13" t="s">
        <v>35</v>
      </c>
      <c r="L369" s="13" t="s">
        <v>82</v>
      </c>
      <c r="M369" s="13" t="s">
        <v>31</v>
      </c>
      <c r="N369" s="13" t="s">
        <v>69</v>
      </c>
      <c r="O369" s="12"/>
      <c r="P369" s="13" t="s">
        <v>72</v>
      </c>
      <c r="Q369" s="65" t="s">
        <v>80</v>
      </c>
      <c r="R369" s="62" t="s">
        <v>81</v>
      </c>
      <c r="S369" s="65" t="s">
        <v>77</v>
      </c>
      <c r="T369" s="674" t="s">
        <v>107</v>
      </c>
      <c r="U369" s="13" t="s">
        <v>53</v>
      </c>
      <c r="V369" s="13" t="s">
        <v>82</v>
      </c>
      <c r="W369" s="13" t="s">
        <v>32</v>
      </c>
      <c r="X369" s="13" t="s">
        <v>69</v>
      </c>
      <c r="Y369" s="12"/>
      <c r="Z369" s="12"/>
      <c r="AA369" s="12"/>
      <c r="AB369" s="13" t="s">
        <v>72</v>
      </c>
      <c r="AC369" s="13" t="s">
        <v>80</v>
      </c>
      <c r="AD369" s="62" t="s">
        <v>81</v>
      </c>
      <c r="AE369" s="65" t="s">
        <v>77</v>
      </c>
      <c r="AF369" s="151" t="s">
        <v>107</v>
      </c>
      <c r="AG369" s="13" t="s">
        <v>78</v>
      </c>
      <c r="AH369" s="13" t="s">
        <v>82</v>
      </c>
      <c r="AI369" s="13" t="s">
        <v>33</v>
      </c>
      <c r="AJ369" s="13" t="s">
        <v>69</v>
      </c>
      <c r="AK369" s="12"/>
      <c r="AL369" s="12"/>
      <c r="AM369" s="13" t="s">
        <v>72</v>
      </c>
      <c r="AN369" s="13" t="s">
        <v>80</v>
      </c>
      <c r="AO369" s="62" t="s">
        <v>81</v>
      </c>
      <c r="AP369" s="65" t="s">
        <v>77</v>
      </c>
      <c r="AQ369" s="151" t="s">
        <v>107</v>
      </c>
      <c r="AR369" s="13" t="s">
        <v>78</v>
      </c>
      <c r="AS369" s="13" t="s">
        <v>82</v>
      </c>
      <c r="AT369" s="13" t="s">
        <v>33</v>
      </c>
      <c r="AU369" s="13" t="s">
        <v>69</v>
      </c>
      <c r="AV369" s="13"/>
      <c r="AW369" s="13"/>
      <c r="AX369" s="13"/>
      <c r="AY369" s="13" t="s">
        <v>159</v>
      </c>
      <c r="AZ369" s="12"/>
      <c r="BA369" s="227"/>
      <c r="BB369" s="12"/>
      <c r="BC369" s="12"/>
      <c r="BD369" s="275"/>
      <c r="BE369" s="12"/>
    </row>
    <row r="370" spans="1:57" ht="13.5" customHeight="1" x14ac:dyDescent="0.25">
      <c r="A370" s="145"/>
      <c r="B370" s="12"/>
      <c r="C370" s="115"/>
      <c r="D370" s="115"/>
      <c r="E370" s="152">
        <f>BB368</f>
        <v>0</v>
      </c>
      <c r="F370" s="19">
        <f>IF($D$4=2022,1,0)</f>
        <v>0</v>
      </c>
      <c r="G370" s="178">
        <f>IF($B$380="Yes",$C$5,$I379)</f>
        <v>12</v>
      </c>
      <c r="H370" s="36">
        <f>VLOOKUP(H378,'Lookup Tables'!$A$22:$B$33,2,FALSE)</f>
        <v>3</v>
      </c>
      <c r="I370" s="192">
        <f>VLOOKUP($E$4,'Lookup Tables'!$AB$46:$AN$58,MATCH($H370,'Lookup Tables'!$AB$46:$AN$46),FALSE)</f>
        <v>12</v>
      </c>
      <c r="J370" s="19">
        <f>12-I370</f>
        <v>0</v>
      </c>
      <c r="K370" s="19">
        <f>IF(G370&lt;J370,G370,J370)</f>
        <v>0</v>
      </c>
      <c r="L370" s="195">
        <f>IF(12-I370&gt;=1,1,0)</f>
        <v>0</v>
      </c>
      <c r="M370" s="20">
        <f>((('Rate Tables'!$B114*$E370)*PersonCalcYr2!$K370)*L370)*$F370</f>
        <v>0</v>
      </c>
      <c r="N370" s="8">
        <f>G370-(J370*L370)</f>
        <v>12</v>
      </c>
      <c r="O370" s="12"/>
      <c r="P370" s="8">
        <f>IF(N370&lt;0,N370*0,1)*N370</f>
        <v>12</v>
      </c>
      <c r="Q370" s="120">
        <f>VLOOKUP($H378,'Lookup Tables'!$A$22:$B$33,2,FALSE)+(K370*L370)</f>
        <v>3</v>
      </c>
      <c r="R370" s="121" t="str">
        <f>VLOOKUP(Q370,'Lookup Tables'!$A$38:$B$151,2,FALSE)</f>
        <v>Sept</v>
      </c>
      <c r="S370" s="36">
        <f>VLOOKUP(R370,'Lookup Tables'!$A$22:$B$33,2,FALSE)</f>
        <v>3</v>
      </c>
      <c r="T370" s="672">
        <f>VLOOKUP($E$4,'Lookup Tables'!$AQ$46:$BC$58,MATCH(PersonCalcYr2!$S370,'Lookup Tables'!$AQ$46:$BC$46),FALSE)</f>
        <v>10</v>
      </c>
      <c r="U370" s="19">
        <f>IF(P370&lt;T370,P370,T370)</f>
        <v>10</v>
      </c>
      <c r="V370" s="119">
        <f>IF((U370)&lt;=0,0,1)</f>
        <v>1</v>
      </c>
      <c r="W370" s="20">
        <f>(('Rate Tables'!$C114*$E370)*PersonCalcYr2!$U370)*$V370*$F370</f>
        <v>0</v>
      </c>
      <c r="X370" s="8">
        <f>P370-(U370*V370)</f>
        <v>2</v>
      </c>
      <c r="Y370" s="12"/>
      <c r="Z370" s="12"/>
      <c r="AA370" s="12"/>
      <c r="AB370" s="19">
        <f>X370</f>
        <v>2</v>
      </c>
      <c r="AC370" s="123">
        <f>AC344</f>
        <v>13</v>
      </c>
      <c r="AD370" s="121" t="str">
        <f>VLOOKUP(AC370,'Lookup Tables'!$A$38:$B$151,2,FALSE)</f>
        <v>July</v>
      </c>
      <c r="AE370" s="36">
        <f>VLOOKUP(AD370,'Lookup Tables'!$A$22:$B$33,2,FALSE)</f>
        <v>1</v>
      </c>
      <c r="AF370" s="87">
        <f>VLOOKUP($AE370,'Lookup Tables'!$AC$3:$AW$16,MATCH(PersonCalcYr2!$AB370,'Lookup Tables'!$AC$3:$AW$3),FALSE)</f>
        <v>2</v>
      </c>
      <c r="AG370" s="19">
        <f>IF(AB370&lt;AF370,AB370,AF370)</f>
        <v>2</v>
      </c>
      <c r="AH370" s="119">
        <f>IF((AG370)&lt;=0,0,1)</f>
        <v>1</v>
      </c>
      <c r="AI370" s="20">
        <f>(('Rate Tables'!$D114*$E370)*PersonCalcYr2!AG370)*AH370*$F370</f>
        <v>0</v>
      </c>
      <c r="AJ370" s="8">
        <f>AB370-(AG370*AH370)</f>
        <v>0</v>
      </c>
      <c r="AK370" s="12"/>
      <c r="AL370" s="12"/>
      <c r="AM370" s="19">
        <f>AJ370</f>
        <v>0</v>
      </c>
      <c r="AN370" s="123">
        <f>AN344</f>
        <v>3</v>
      </c>
      <c r="AO370" s="121" t="str">
        <f>VLOOKUP(AN370,'Lookup Tables'!$A$38:$B$151,2,FALSE)</f>
        <v>Sept</v>
      </c>
      <c r="AP370" s="36">
        <f>VLOOKUP(AO370,'Lookup Tables'!$A$22:$B$33,2,FALSE)</f>
        <v>3</v>
      </c>
      <c r="AQ370" s="87">
        <f>VLOOKUP($AP370,'Lookup Tables'!$AC$3:$AW$16,MATCH(PersonCalcYr2!$AM370,'Lookup Tables'!$AC$3:$AW$3),FALSE)</f>
        <v>0</v>
      </c>
      <c r="AR370" s="19">
        <f>IF(AM370&lt;AQ370,AM370,AQ370)</f>
        <v>0</v>
      </c>
      <c r="AS370" s="119">
        <f>IF((AR370)&lt;=0,0,1)</f>
        <v>0</v>
      </c>
      <c r="AT370" s="20">
        <f>(('Rate Tables'!$E114*$E370)*PersonCalcYr2!AR370)*AS370*$F370</f>
        <v>0</v>
      </c>
      <c r="AU370" s="8">
        <f>AM370-(AR370*AS370)</f>
        <v>0</v>
      </c>
      <c r="AV370" s="19"/>
      <c r="AW370" s="19"/>
      <c r="AX370" s="19"/>
      <c r="AY370" s="19">
        <f>VLOOKUP(B340,'Lookup Tables'!$AK$22:$AM$24,3,0)</f>
        <v>1</v>
      </c>
      <c r="AZ370" s="12"/>
      <c r="BA370" s="227"/>
      <c r="BB370" s="12"/>
      <c r="BC370" s="276" t="s">
        <v>188</v>
      </c>
      <c r="BD370" s="277">
        <f>BD368*'Rate Tables'!P$8</f>
        <v>0</v>
      </c>
      <c r="BE370" s="224"/>
    </row>
    <row r="371" spans="1:57" ht="13.5" customHeight="1" x14ac:dyDescent="0.25">
      <c r="A371" s="145"/>
      <c r="B371" s="12"/>
      <c r="C371" s="117" t="s">
        <v>597</v>
      </c>
      <c r="D371" s="117"/>
      <c r="E371" s="13"/>
      <c r="F371" s="13" t="s">
        <v>42</v>
      </c>
      <c r="G371" s="13" t="s">
        <v>41</v>
      </c>
      <c r="H371" s="65" t="s">
        <v>77</v>
      </c>
      <c r="I371" s="150" t="s">
        <v>51</v>
      </c>
      <c r="J371" s="13" t="s">
        <v>110</v>
      </c>
      <c r="K371" s="13" t="s">
        <v>53</v>
      </c>
      <c r="L371" s="13" t="s">
        <v>82</v>
      </c>
      <c r="M371" s="13" t="s">
        <v>32</v>
      </c>
      <c r="N371" s="13" t="s">
        <v>69</v>
      </c>
      <c r="O371" s="12"/>
      <c r="P371" s="13" t="s">
        <v>72</v>
      </c>
      <c r="Q371" s="65" t="s">
        <v>80</v>
      </c>
      <c r="R371" s="62" t="s">
        <v>81</v>
      </c>
      <c r="S371" s="65" t="s">
        <v>77</v>
      </c>
      <c r="T371" s="674" t="s">
        <v>107</v>
      </c>
      <c r="U371" s="13" t="s">
        <v>78</v>
      </c>
      <c r="V371" s="13" t="s">
        <v>82</v>
      </c>
      <c r="W371" s="13" t="s">
        <v>33</v>
      </c>
      <c r="X371" s="13" t="s">
        <v>69</v>
      </c>
      <c r="Y371" s="12"/>
      <c r="Z371" s="12"/>
      <c r="AA371" s="12"/>
      <c r="AB371" s="13" t="s">
        <v>72</v>
      </c>
      <c r="AC371" s="13" t="s">
        <v>80</v>
      </c>
      <c r="AD371" s="62" t="s">
        <v>81</v>
      </c>
      <c r="AE371" s="65" t="s">
        <v>77</v>
      </c>
      <c r="AF371" s="151" t="s">
        <v>107</v>
      </c>
      <c r="AG371" s="13" t="s">
        <v>79</v>
      </c>
      <c r="AH371" s="13" t="s">
        <v>82</v>
      </c>
      <c r="AI371" s="13" t="s">
        <v>34</v>
      </c>
      <c r="AJ371" s="13" t="s">
        <v>69</v>
      </c>
      <c r="AK371" s="12"/>
      <c r="AL371" s="12"/>
      <c r="AM371" s="13" t="s">
        <v>72</v>
      </c>
      <c r="AN371" s="13" t="s">
        <v>80</v>
      </c>
      <c r="AO371" s="62" t="s">
        <v>81</v>
      </c>
      <c r="AP371" s="65" t="s">
        <v>77</v>
      </c>
      <c r="AQ371" s="151" t="s">
        <v>107</v>
      </c>
      <c r="AR371" s="13" t="s">
        <v>79</v>
      </c>
      <c r="AS371" s="13" t="s">
        <v>82</v>
      </c>
      <c r="AT371" s="13" t="s">
        <v>34</v>
      </c>
      <c r="AU371" s="13" t="s">
        <v>69</v>
      </c>
      <c r="AV371" s="13"/>
      <c r="AW371" s="13"/>
      <c r="AX371" s="13"/>
      <c r="AY371" s="13"/>
      <c r="AZ371" s="12"/>
      <c r="BA371" s="311"/>
      <c r="BB371" s="12"/>
      <c r="BC371" s="12"/>
      <c r="BD371" s="275"/>
      <c r="BE371" s="12"/>
    </row>
    <row r="372" spans="1:57" ht="13.5" customHeight="1" x14ac:dyDescent="0.25">
      <c r="A372" s="145"/>
      <c r="B372" s="12"/>
      <c r="C372" s="115"/>
      <c r="D372" s="115"/>
      <c r="E372" s="152">
        <f>BB368</f>
        <v>0</v>
      </c>
      <c r="F372" s="19">
        <f>IF($D$4=2023,1,0)</f>
        <v>1</v>
      </c>
      <c r="G372" s="178">
        <f>IF($B$380="Yes",$C$5,$I379)</f>
        <v>12</v>
      </c>
      <c r="H372" s="36">
        <f>VLOOKUP(H378,'Lookup Tables'!$A$22:$B$33,2,FALSE)</f>
        <v>3</v>
      </c>
      <c r="I372" s="192">
        <f>VLOOKUP($E$4,'Lookup Tables'!$AB$46:$AN$58,MATCH($H372,'Lookup Tables'!$AB$46:$AN$46),FALSE)</f>
        <v>12</v>
      </c>
      <c r="J372" s="19">
        <f>12-I372</f>
        <v>0</v>
      </c>
      <c r="K372" s="19">
        <f>IF(G372&lt;J372,G372,J372)</f>
        <v>0</v>
      </c>
      <c r="L372" s="195">
        <f>IF(12-I372&gt;=1,1,0)</f>
        <v>0</v>
      </c>
      <c r="M372" s="20">
        <f>((('Rate Tables'!$C114*$E372)*PersonCalcYr2!$K372)*L372)*$F372</f>
        <v>0</v>
      </c>
      <c r="N372" s="8">
        <f>G372-(J372*L372)</f>
        <v>12</v>
      </c>
      <c r="O372" s="12"/>
      <c r="P372" s="8">
        <f>IF(N372&lt;0,N372*0,1)*N372</f>
        <v>12</v>
      </c>
      <c r="Q372" s="120">
        <f>VLOOKUP($H378,'Lookup Tables'!$A$22:$B$33,2,FALSE)+(K372*L372)</f>
        <v>3</v>
      </c>
      <c r="R372" s="121" t="str">
        <f>VLOOKUP(Q372,'Lookup Tables'!$A$38:$B$151,2,FALSE)</f>
        <v>Sept</v>
      </c>
      <c r="S372" s="36">
        <f>VLOOKUP(R372,'Lookup Tables'!$A$22:$B$33,2,FALSE)</f>
        <v>3</v>
      </c>
      <c r="T372" s="672">
        <f>VLOOKUP($E$4,'Lookup Tables'!$AQ$46:$BC$58,MATCH(PersonCalcYr2!$S372,'Lookup Tables'!$AQ$46:$BC$46),FALSE)</f>
        <v>10</v>
      </c>
      <c r="U372" s="19">
        <f>IF(P372&lt;T372,P372,T372)</f>
        <v>10</v>
      </c>
      <c r="V372" s="119">
        <f>IF((U372)&lt;=0,0,1)</f>
        <v>1</v>
      </c>
      <c r="W372" s="20">
        <f>(('Rate Tables'!$D114*$E372)*PersonCalcYr2!$U372)*$V372*$F372</f>
        <v>0</v>
      </c>
      <c r="X372" s="8">
        <f>P372-(U372*V372)</f>
        <v>2</v>
      </c>
      <c r="Y372" s="12"/>
      <c r="Z372" s="12"/>
      <c r="AA372" s="12"/>
      <c r="AB372" s="19">
        <f>X372</f>
        <v>2</v>
      </c>
      <c r="AC372" s="123">
        <f>AC346</f>
        <v>13</v>
      </c>
      <c r="AD372" s="121" t="str">
        <f>VLOOKUP(AC372,'Lookup Tables'!$A$38:$B$151,2,FALSE)</f>
        <v>July</v>
      </c>
      <c r="AE372" s="36">
        <f>VLOOKUP(AD372,'Lookup Tables'!$A$22:$B$33,2,FALSE)</f>
        <v>1</v>
      </c>
      <c r="AF372" s="87">
        <f>VLOOKUP($AE372,'Lookup Tables'!$AC$3:$AW$16,MATCH(PersonCalcYr2!$AB372,'Lookup Tables'!$AC$3:$AW$3),FALSE)</f>
        <v>2</v>
      </c>
      <c r="AG372" s="19">
        <f>IF(AB372&lt;AF372,AB372,AF372)</f>
        <v>2</v>
      </c>
      <c r="AH372" s="119">
        <f>IF((AG372)&lt;=0,0,1)</f>
        <v>1</v>
      </c>
      <c r="AI372" s="20">
        <f>(('Rate Tables'!$E114*$E372)*PersonCalcYr2!AG372)*AH372*$F372</f>
        <v>0</v>
      </c>
      <c r="AJ372" s="8">
        <f>AB372-(AG372*AH372)</f>
        <v>0</v>
      </c>
      <c r="AK372" s="12"/>
      <c r="AL372" s="12"/>
      <c r="AM372" s="19">
        <f>AJ372</f>
        <v>0</v>
      </c>
      <c r="AN372" s="123">
        <f>AN346</f>
        <v>3</v>
      </c>
      <c r="AO372" s="121" t="str">
        <f>VLOOKUP(AN372,'Lookup Tables'!$A$38:$B$151,2,FALSE)</f>
        <v>Sept</v>
      </c>
      <c r="AP372" s="36">
        <f>VLOOKUP(AO372,'Lookup Tables'!$A$22:$B$33,2,FALSE)</f>
        <v>3</v>
      </c>
      <c r="AQ372" s="87">
        <f>VLOOKUP($AP372,'Lookup Tables'!$AC$3:$AW$16,MATCH(PersonCalcYr2!$AM372,'Lookup Tables'!$AC$3:$AW$3),FALSE)</f>
        <v>0</v>
      </c>
      <c r="AR372" s="19">
        <f>IF(AM372&lt;AQ372,AM372,AQ372)</f>
        <v>0</v>
      </c>
      <c r="AS372" s="119">
        <f>IF((AR372)&lt;=0,0,1)</f>
        <v>0</v>
      </c>
      <c r="AT372" s="20">
        <f>(('Rate Tables'!$F114*$E372)*PersonCalcYr2!AR372)*AS372*$F372</f>
        <v>0</v>
      </c>
      <c r="AU372" s="8">
        <f>AM372-(AR372*AS372)</f>
        <v>0</v>
      </c>
      <c r="AV372" s="20"/>
      <c r="AW372" s="20"/>
      <c r="AX372" s="20"/>
      <c r="AY372" s="20"/>
      <c r="AZ372" s="12"/>
      <c r="BA372" s="311"/>
      <c r="BB372" s="349" t="s">
        <v>643</v>
      </c>
      <c r="BC372" s="276" t="s">
        <v>136</v>
      </c>
      <c r="BD372" s="286">
        <f>(((O376+O377+O378+AA376+AA377+AA378+AL376+AL377+AL378+AW376+AW377+AW378)*AY378)*BD373)*BB375</f>
        <v>0</v>
      </c>
      <c r="BE372" s="12" t="s">
        <v>418</v>
      </c>
    </row>
    <row r="373" spans="1:57" ht="13.5" customHeight="1" x14ac:dyDescent="0.25">
      <c r="A373" s="145"/>
      <c r="B373" s="12"/>
      <c r="C373" s="117" t="s">
        <v>664</v>
      </c>
      <c r="D373" s="117"/>
      <c r="E373" s="13"/>
      <c r="F373" s="13" t="s">
        <v>42</v>
      </c>
      <c r="G373" s="13" t="s">
        <v>41</v>
      </c>
      <c r="H373" s="65" t="s">
        <v>77</v>
      </c>
      <c r="I373" s="150" t="s">
        <v>51</v>
      </c>
      <c r="J373" s="13" t="s">
        <v>110</v>
      </c>
      <c r="K373" s="13" t="s">
        <v>53</v>
      </c>
      <c r="L373" s="13" t="s">
        <v>82</v>
      </c>
      <c r="M373" s="13" t="s">
        <v>32</v>
      </c>
      <c r="N373" s="13" t="s">
        <v>69</v>
      </c>
      <c r="O373" s="12"/>
      <c r="P373" s="13" t="s">
        <v>72</v>
      </c>
      <c r="Q373" s="65" t="s">
        <v>80</v>
      </c>
      <c r="R373" s="62" t="s">
        <v>81</v>
      </c>
      <c r="S373" s="65" t="s">
        <v>77</v>
      </c>
      <c r="T373" s="674" t="s">
        <v>107</v>
      </c>
      <c r="U373" s="13" t="s">
        <v>78</v>
      </c>
      <c r="V373" s="13" t="s">
        <v>82</v>
      </c>
      <c r="W373" s="13" t="s">
        <v>33</v>
      </c>
      <c r="X373" s="13" t="s">
        <v>69</v>
      </c>
      <c r="Y373" s="12"/>
      <c r="Z373" s="12"/>
      <c r="AA373" s="12"/>
      <c r="AB373" s="13" t="s">
        <v>72</v>
      </c>
      <c r="AC373" s="13" t="s">
        <v>80</v>
      </c>
      <c r="AD373" s="62" t="s">
        <v>81</v>
      </c>
      <c r="AE373" s="65" t="s">
        <v>77</v>
      </c>
      <c r="AF373" s="151" t="s">
        <v>107</v>
      </c>
      <c r="AG373" s="13" t="s">
        <v>79</v>
      </c>
      <c r="AH373" s="13" t="s">
        <v>82</v>
      </c>
      <c r="AI373" s="13" t="s">
        <v>34</v>
      </c>
      <c r="AJ373" s="13" t="s">
        <v>69</v>
      </c>
      <c r="AK373" s="12"/>
      <c r="AL373" s="12"/>
      <c r="AM373" s="13" t="s">
        <v>72</v>
      </c>
      <c r="AN373" s="13" t="s">
        <v>80</v>
      </c>
      <c r="AO373" s="62" t="s">
        <v>81</v>
      </c>
      <c r="AP373" s="65" t="s">
        <v>77</v>
      </c>
      <c r="AQ373" s="151" t="s">
        <v>107</v>
      </c>
      <c r="AR373" s="13" t="s">
        <v>79</v>
      </c>
      <c r="AS373" s="13" t="s">
        <v>82</v>
      </c>
      <c r="AT373" s="13" t="s">
        <v>34</v>
      </c>
      <c r="AU373" s="13" t="s">
        <v>69</v>
      </c>
      <c r="AV373" s="20"/>
      <c r="AW373" s="20"/>
      <c r="AX373" s="20"/>
      <c r="AY373" s="20"/>
      <c r="AZ373" s="12"/>
      <c r="BA373" s="311"/>
      <c r="BB373" s="350" t="s">
        <v>644</v>
      </c>
      <c r="BC373" s="227" t="s">
        <v>582</v>
      </c>
      <c r="BD373" s="663">
        <f>IF(BD368&gt;0,1,0)</f>
        <v>0</v>
      </c>
      <c r="BE373" s="12"/>
    </row>
    <row r="374" spans="1:57" ht="13.5" customHeight="1" x14ac:dyDescent="0.25">
      <c r="A374" s="145"/>
      <c r="B374" s="12"/>
      <c r="C374" s="115"/>
      <c r="D374" s="115"/>
      <c r="E374" s="152">
        <f>BB368</f>
        <v>0</v>
      </c>
      <c r="F374" s="19">
        <f>IF($D$4=2024,1,0)</f>
        <v>0</v>
      </c>
      <c r="G374" s="178">
        <f>IF($B$380="Yes",$C$5,$I379)</f>
        <v>12</v>
      </c>
      <c r="H374" s="36">
        <f>VLOOKUP(H378,'Lookup Tables'!$A$22:$B$33,2,FALSE)</f>
        <v>3</v>
      </c>
      <c r="I374" s="192">
        <f>VLOOKUP($E$4,'Lookup Tables'!$AB$46:$AN$58,MATCH($H374,'Lookup Tables'!$AB$46:$AN$46),FALSE)</f>
        <v>12</v>
      </c>
      <c r="J374" s="19">
        <f>12-I374</f>
        <v>0</v>
      </c>
      <c r="K374" s="19">
        <f>IF(G374&lt;J374,G374,J374)</f>
        <v>0</v>
      </c>
      <c r="L374" s="195">
        <f>IF(12-I374&gt;=1,1,0)</f>
        <v>0</v>
      </c>
      <c r="M374" s="20">
        <f>((('Rate Tables'!$D114*$E374)*PersonCalcYr2!$K374)*L374)*$F374</f>
        <v>0</v>
      </c>
      <c r="N374" s="8">
        <f>G374-(J374*L374)</f>
        <v>12</v>
      </c>
      <c r="O374" s="12"/>
      <c r="P374" s="8">
        <f>IF(N374&lt;0,N374*0,1)*N374</f>
        <v>12</v>
      </c>
      <c r="Q374" s="120">
        <f>VLOOKUP($H378,'Lookup Tables'!$A$22:$B$33,2,FALSE)+(K374*L374)</f>
        <v>3</v>
      </c>
      <c r="R374" s="121" t="str">
        <f>VLOOKUP(Q374,'Lookup Tables'!$A$38:$B$151,2,FALSE)</f>
        <v>Sept</v>
      </c>
      <c r="S374" s="36">
        <f>VLOOKUP(R374,'Lookup Tables'!$A$22:$B$33,2,FALSE)</f>
        <v>3</v>
      </c>
      <c r="T374" s="672">
        <f>VLOOKUP($E$4,'Lookup Tables'!$AQ$46:$BC$58,MATCH(PersonCalcYr2!$S374,'Lookup Tables'!$AQ$46:$BC$46),FALSE)</f>
        <v>10</v>
      </c>
      <c r="U374" s="19">
        <f>IF(P374&lt;T374,P374,T374)</f>
        <v>10</v>
      </c>
      <c r="V374" s="119">
        <f>IF((U374)&lt;=0,0,1)</f>
        <v>1</v>
      </c>
      <c r="W374" s="20">
        <f>(('Rate Tables'!$E114*$E374)*PersonCalcYr2!$U374)*$V374*$F374</f>
        <v>0</v>
      </c>
      <c r="X374" s="8">
        <f>P374-(U374*V374)</f>
        <v>2</v>
      </c>
      <c r="Y374" s="12"/>
      <c r="Z374" s="12"/>
      <c r="AA374" s="12"/>
      <c r="AB374" s="19">
        <f>X374</f>
        <v>2</v>
      </c>
      <c r="AC374" s="123">
        <f>AC348</f>
        <v>13</v>
      </c>
      <c r="AD374" s="121" t="str">
        <f>VLOOKUP(AC374,'Lookup Tables'!$A$38:$B$151,2,FALSE)</f>
        <v>July</v>
      </c>
      <c r="AE374" s="36">
        <f>VLOOKUP(AD374,'Lookup Tables'!$A$22:$B$33,2,FALSE)</f>
        <v>1</v>
      </c>
      <c r="AF374" s="87">
        <f>VLOOKUP($AE374,'Lookup Tables'!$AC$3:$AW$16,MATCH(PersonCalcYr2!$AB374,'Lookup Tables'!$AC$3:$AW$3),FALSE)</f>
        <v>2</v>
      </c>
      <c r="AG374" s="19">
        <f>IF(AB374&lt;AF374,AB374,AF374)</f>
        <v>2</v>
      </c>
      <c r="AH374" s="119">
        <f>IF((AG374)&lt;=0,0,1)</f>
        <v>1</v>
      </c>
      <c r="AI374" s="20">
        <f>(('Rate Tables'!$F114*$E374)*PersonCalcYr2!AG374)*AH374*$F374</f>
        <v>0</v>
      </c>
      <c r="AJ374" s="8">
        <f>AB374-(AG374*AH374)</f>
        <v>0</v>
      </c>
      <c r="AK374" s="12"/>
      <c r="AL374" s="12"/>
      <c r="AM374" s="19">
        <f>AJ374</f>
        <v>0</v>
      </c>
      <c r="AN374" s="123">
        <f>AN348</f>
        <v>3</v>
      </c>
      <c r="AO374" s="121" t="str">
        <f>VLOOKUP(AN374,'Lookup Tables'!$A$38:$B$151,2,FALSE)</f>
        <v>Sept</v>
      </c>
      <c r="AP374" s="36">
        <f>VLOOKUP(AO374,'Lookup Tables'!$A$22:$B$33,2,FALSE)</f>
        <v>3</v>
      </c>
      <c r="AQ374" s="87">
        <f>VLOOKUP($AP374,'Lookup Tables'!$AC$3:$AW$16,MATCH(PersonCalcYr2!$AM374,'Lookup Tables'!$AC$3:$AW$3),FALSE)</f>
        <v>0</v>
      </c>
      <c r="AR374" s="19">
        <f>IF(AM374&lt;AQ374,AM374,AQ374)</f>
        <v>0</v>
      </c>
      <c r="AS374" s="119">
        <f>IF((AR374)&lt;=0,0,1)</f>
        <v>0</v>
      </c>
      <c r="AT374" s="20">
        <f>(('Rate Tables'!$G114*$E374)*PersonCalcYr2!AR374)*AS374*$F374</f>
        <v>0</v>
      </c>
      <c r="AU374" s="8">
        <f>AM374-(AR374*AS374)</f>
        <v>0</v>
      </c>
      <c r="AV374" s="20"/>
      <c r="AW374" s="20"/>
      <c r="AX374" s="20"/>
      <c r="AY374" s="20"/>
      <c r="AZ374" s="12"/>
      <c r="BA374" s="311"/>
      <c r="BB374" s="358" t="str">
        <f>IF(BB368=50%,"no",Personnel!O102)</f>
        <v>No</v>
      </c>
      <c r="BC374" s="276"/>
      <c r="BD374" s="286"/>
      <c r="BE374" s="12"/>
    </row>
    <row r="375" spans="1:57" ht="13.5" customHeight="1" x14ac:dyDescent="0.25">
      <c r="A375" s="145"/>
      <c r="B375" s="12"/>
      <c r="C375" s="115"/>
      <c r="D375" s="115"/>
      <c r="E375" s="152"/>
      <c r="F375" s="19"/>
      <c r="G375" s="178"/>
      <c r="H375" s="12"/>
      <c r="I375" s="496"/>
      <c r="J375" s="19"/>
      <c r="K375" s="19"/>
      <c r="L375" s="195"/>
      <c r="M375" s="13" t="s">
        <v>129</v>
      </c>
      <c r="N375" s="13" t="s">
        <v>128</v>
      </c>
      <c r="O375" s="153" t="s">
        <v>130</v>
      </c>
      <c r="P375" s="12"/>
      <c r="Q375" s="12"/>
      <c r="R375" s="12"/>
      <c r="S375" s="12"/>
      <c r="T375" s="12"/>
      <c r="U375" s="12"/>
      <c r="V375" s="12"/>
      <c r="W375" s="12"/>
      <c r="X375" s="12"/>
      <c r="Y375" s="13" t="s">
        <v>129</v>
      </c>
      <c r="Z375" s="13" t="s">
        <v>128</v>
      </c>
      <c r="AA375" s="153" t="s">
        <v>130</v>
      </c>
      <c r="AB375" s="12"/>
      <c r="AC375" s="12"/>
      <c r="AD375" s="12"/>
      <c r="AE375" s="12"/>
      <c r="AF375" s="12"/>
      <c r="AG375" s="12"/>
      <c r="AH375" s="12"/>
      <c r="AI375" s="12"/>
      <c r="AJ375" s="13" t="s">
        <v>129</v>
      </c>
      <c r="AK375" s="13" t="s">
        <v>128</v>
      </c>
      <c r="AL375" s="153" t="s">
        <v>130</v>
      </c>
      <c r="AN375" s="12"/>
      <c r="AO375" s="12"/>
      <c r="AP375" s="12"/>
      <c r="AQ375" s="12"/>
      <c r="AR375" s="12"/>
      <c r="AS375" s="12"/>
      <c r="AT375" s="12"/>
      <c r="AU375" s="13" t="s">
        <v>129</v>
      </c>
      <c r="AV375" s="13" t="s">
        <v>128</v>
      </c>
      <c r="AW375" s="153" t="s">
        <v>130</v>
      </c>
      <c r="AX375" s="20"/>
      <c r="AY375" s="20"/>
      <c r="AZ375" s="12"/>
      <c r="BA375" s="311"/>
      <c r="BB375" s="349">
        <f>IF(BB374="yes",0.5,1)</f>
        <v>1</v>
      </c>
      <c r="BC375" s="276"/>
      <c r="BD375" s="286"/>
      <c r="BE375" s="12"/>
    </row>
    <row r="376" spans="1:57" ht="13.5" customHeight="1" x14ac:dyDescent="0.25">
      <c r="A376" s="145"/>
      <c r="B376" s="12"/>
      <c r="C376" s="115"/>
      <c r="D376" s="115"/>
      <c r="E376" s="152"/>
      <c r="F376" s="19"/>
      <c r="G376" s="178"/>
      <c r="H376" s="12"/>
      <c r="I376" s="496"/>
      <c r="J376" s="19"/>
      <c r="K376" s="19"/>
      <c r="L376" s="195"/>
      <c r="M376" s="129">
        <f>'Rate Tables'!$P$17</f>
        <v>910</v>
      </c>
      <c r="N376" s="146">
        <f>(K370*L370)*F370</f>
        <v>0</v>
      </c>
      <c r="O376" s="154">
        <f>M376*N376</f>
        <v>0</v>
      </c>
      <c r="P376" s="12"/>
      <c r="Q376" s="12"/>
      <c r="R376" s="12"/>
      <c r="S376" s="12"/>
      <c r="T376" s="12"/>
      <c r="U376" s="12"/>
      <c r="V376" s="12"/>
      <c r="W376" s="12"/>
      <c r="X376" s="12"/>
      <c r="Y376" s="129">
        <f>'Rate Tables'!$P$18</f>
        <v>910</v>
      </c>
      <c r="Z376" s="146">
        <f>U370*V370*F370</f>
        <v>0</v>
      </c>
      <c r="AA376" s="125">
        <f>Y376*Z376</f>
        <v>0</v>
      </c>
      <c r="AB376" s="12"/>
      <c r="AC376" s="12"/>
      <c r="AD376" s="12"/>
      <c r="AE376" s="12"/>
      <c r="AF376" s="12"/>
      <c r="AG376" s="12"/>
      <c r="AH376" s="12"/>
      <c r="AI376" s="12"/>
      <c r="AJ376" s="129">
        <f>'Rate Tables'!$P$19</f>
        <v>910</v>
      </c>
      <c r="AK376" s="146">
        <f>AG370*AH370*F370</f>
        <v>0</v>
      </c>
      <c r="AL376" s="125">
        <f>AJ376*AK376</f>
        <v>0</v>
      </c>
      <c r="AN376" s="12"/>
      <c r="AO376" s="12"/>
      <c r="AP376" s="12"/>
      <c r="AQ376" s="12"/>
      <c r="AR376" s="12"/>
      <c r="AS376" s="12"/>
      <c r="AT376" s="12"/>
      <c r="AU376" s="129">
        <f>'Rate Tables'!$P$20</f>
        <v>928.2</v>
      </c>
      <c r="AV376" s="146">
        <f>AR370*AS370*F370</f>
        <v>0</v>
      </c>
      <c r="AW376" s="125">
        <f>AU376*AV376</f>
        <v>0</v>
      </c>
      <c r="AX376" s="20"/>
      <c r="AY376" s="20"/>
      <c r="AZ376" s="12"/>
      <c r="BA376" s="311"/>
      <c r="BB376" s="12"/>
      <c r="BC376" s="276"/>
      <c r="BD376" s="286"/>
      <c r="BE376" s="12"/>
    </row>
    <row r="377" spans="1:57" ht="13.5" customHeight="1" x14ac:dyDescent="0.25">
      <c r="A377" s="145"/>
      <c r="B377" s="12" t="s">
        <v>127</v>
      </c>
      <c r="C377" s="12"/>
      <c r="D377" s="12"/>
      <c r="E377" s="12"/>
      <c r="F377" s="12"/>
      <c r="G377" s="12"/>
      <c r="H377" s="12"/>
      <c r="I377" s="12"/>
      <c r="J377" s="12"/>
      <c r="K377" s="12"/>
      <c r="L377" s="13"/>
      <c r="M377" s="129">
        <f>'Rate Tables'!$P$18</f>
        <v>910</v>
      </c>
      <c r="N377" s="146">
        <f>K372*L372*F372</f>
        <v>0</v>
      </c>
      <c r="O377" s="154">
        <f>M377*N377</f>
        <v>0</v>
      </c>
      <c r="P377" s="12"/>
      <c r="Q377" s="12"/>
      <c r="R377" s="12"/>
      <c r="S377" s="12"/>
      <c r="T377" s="12"/>
      <c r="U377" s="12"/>
      <c r="V377" s="12"/>
      <c r="W377" s="12"/>
      <c r="X377" s="12"/>
      <c r="Y377" s="129">
        <f>'Rate Tables'!$P$19</f>
        <v>910</v>
      </c>
      <c r="Z377" s="146">
        <f>U372*V372*F372</f>
        <v>10</v>
      </c>
      <c r="AA377" s="125">
        <f>Y377*Z377</f>
        <v>9100</v>
      </c>
      <c r="AB377" s="12"/>
      <c r="AC377" s="12"/>
      <c r="AD377" s="12"/>
      <c r="AE377" s="12"/>
      <c r="AF377" s="12"/>
      <c r="AG377" s="12"/>
      <c r="AH377" s="12"/>
      <c r="AI377" s="12"/>
      <c r="AJ377" s="129">
        <f>'Rate Tables'!$P$20</f>
        <v>928.2</v>
      </c>
      <c r="AK377" s="146">
        <f>AG372*AH372*F372</f>
        <v>2</v>
      </c>
      <c r="AL377" s="125">
        <f>AJ377*AK377</f>
        <v>1856.4</v>
      </c>
      <c r="AN377" s="12"/>
      <c r="AO377" s="12"/>
      <c r="AP377" s="12"/>
      <c r="AQ377" s="12"/>
      <c r="AR377" s="12"/>
      <c r="AS377" s="12"/>
      <c r="AT377" s="12"/>
      <c r="AU377" s="129">
        <f>'Rate Tables'!$P$21</f>
        <v>946.76</v>
      </c>
      <c r="AV377" s="146">
        <f>AR372*AS372*F372</f>
        <v>0</v>
      </c>
      <c r="AW377" s="125">
        <f>AU377*AV377</f>
        <v>0</v>
      </c>
      <c r="AX377" s="13"/>
      <c r="AY377" s="13" t="s">
        <v>159</v>
      </c>
      <c r="AZ377" s="12"/>
      <c r="BA377" s="227"/>
      <c r="BB377" s="12"/>
      <c r="BC377" s="12"/>
      <c r="BD377" s="275"/>
      <c r="BE377" s="372">
        <f>VLOOKUP('F&amp;ARatesCalc'!$B$1,'F&amp;ARatesCalc'!$A$3:$B$5,2,FALSE)</f>
        <v>0.56999999999999995</v>
      </c>
    </row>
    <row r="378" spans="1:57" ht="13.5" customHeight="1" x14ac:dyDescent="0.25">
      <c r="A378" s="145"/>
      <c r="B378" s="12"/>
      <c r="C378" s="12"/>
      <c r="D378" s="12"/>
      <c r="E378" s="12"/>
      <c r="F378" s="12"/>
      <c r="G378" s="178" t="s">
        <v>430</v>
      </c>
      <c r="H378" s="178" t="str">
        <f>IF(B380="yes",$C$4,A382)</f>
        <v>Sept</v>
      </c>
      <c r="I378" s="12"/>
      <c r="J378" s="12"/>
      <c r="K378" s="12"/>
      <c r="L378" s="12"/>
      <c r="M378" s="129">
        <f>'Rate Tables'!$P$19</f>
        <v>910</v>
      </c>
      <c r="N378" s="146">
        <f>(K374*L374)*F374</f>
        <v>0</v>
      </c>
      <c r="O378" s="154">
        <f>M378*N378</f>
        <v>0</v>
      </c>
      <c r="P378" s="12"/>
      <c r="Q378" s="12"/>
      <c r="R378" s="12"/>
      <c r="S378" s="12"/>
      <c r="T378" s="12"/>
      <c r="U378" s="12"/>
      <c r="V378" s="12"/>
      <c r="W378" s="12"/>
      <c r="X378" s="12"/>
      <c r="Y378" s="129">
        <f>'Rate Tables'!$P$20</f>
        <v>928.2</v>
      </c>
      <c r="Z378" s="146">
        <f>U374*V374*F374</f>
        <v>0</v>
      </c>
      <c r="AA378" s="125">
        <f>Y378*Z378</f>
        <v>0</v>
      </c>
      <c r="AB378" s="12"/>
      <c r="AC378" s="12"/>
      <c r="AD378" s="12"/>
      <c r="AE378" s="12"/>
      <c r="AF378" s="12"/>
      <c r="AG378" s="12"/>
      <c r="AH378" s="12"/>
      <c r="AI378" s="12"/>
      <c r="AJ378" s="129">
        <f>'Rate Tables'!$P$21</f>
        <v>946.76</v>
      </c>
      <c r="AK378" s="146">
        <f>AG374*AH374*F374</f>
        <v>0</v>
      </c>
      <c r="AL378" s="125">
        <f>AJ378*AK378</f>
        <v>0</v>
      </c>
      <c r="AN378" s="12"/>
      <c r="AO378" s="12"/>
      <c r="AP378" s="12"/>
      <c r="AQ378" s="12"/>
      <c r="AR378" s="12"/>
      <c r="AS378" s="12"/>
      <c r="AT378" s="12"/>
      <c r="AU378" s="129">
        <f>'Rate Tables'!$P$22</f>
        <v>965.7</v>
      </c>
      <c r="AV378" s="146">
        <f>AR374*AS374*F374</f>
        <v>0</v>
      </c>
      <c r="AW378" s="125">
        <f>AU378*AV378</f>
        <v>0</v>
      </c>
      <c r="AX378" s="19"/>
      <c r="AY378" s="19">
        <f>VLOOKUP(B340,'Lookup Tables'!$AK$22:$AM$24,3,0)</f>
        <v>1</v>
      </c>
      <c r="AZ378" s="12"/>
      <c r="BA378" s="307"/>
      <c r="BB378" s="125"/>
      <c r="BC378" s="12"/>
      <c r="BD378" s="275"/>
      <c r="BE378" s="12" t="s">
        <v>417</v>
      </c>
    </row>
    <row r="379" spans="1:57" ht="13.5" customHeight="1" x14ac:dyDescent="0.25">
      <c r="A379" s="145"/>
      <c r="B379" s="12"/>
      <c r="C379" s="12"/>
      <c r="D379" s="12"/>
      <c r="E379" s="12"/>
      <c r="F379" s="12"/>
      <c r="G379" s="491" t="s">
        <v>555</v>
      </c>
      <c r="H379" s="11">
        <f>IF(H382&lt;$C$5,H382,$C$5)</f>
        <v>12</v>
      </c>
      <c r="I379" s="178">
        <f>IF(B382&lt;=H382,B382,H382)</f>
        <v>0</v>
      </c>
      <c r="J379" s="12"/>
      <c r="K379" s="12"/>
      <c r="L379" s="12"/>
      <c r="M379" s="129"/>
      <c r="N379" s="146"/>
      <c r="O379" s="154"/>
      <c r="P379" s="12"/>
      <c r="Q379" s="12"/>
      <c r="R379" s="12"/>
      <c r="S379" s="12"/>
      <c r="T379" s="12"/>
      <c r="U379" s="12"/>
      <c r="V379" s="12"/>
      <c r="W379" s="12"/>
      <c r="X379" s="12"/>
      <c r="Y379" s="129"/>
      <c r="Z379" s="146"/>
      <c r="AA379" s="125"/>
      <c r="AB379" s="12"/>
      <c r="AC379" s="12"/>
      <c r="AD379" s="12"/>
      <c r="AE379" s="12"/>
      <c r="AF379" s="12"/>
      <c r="AG379" s="12"/>
      <c r="AH379" s="12"/>
      <c r="AI379" s="12"/>
      <c r="AJ379" s="129"/>
      <c r="AK379" s="146"/>
      <c r="AL379" s="125"/>
      <c r="AM379" s="12"/>
      <c r="AN379" s="12"/>
      <c r="AO379" s="12"/>
      <c r="AP379" s="12"/>
      <c r="AQ379" s="12"/>
      <c r="AR379" s="12"/>
      <c r="AS379" s="12"/>
      <c r="AT379" s="12"/>
      <c r="AU379" s="12"/>
      <c r="AV379" s="12"/>
      <c r="AW379" s="12"/>
      <c r="AX379" s="12"/>
      <c r="AY379" s="12" t="s">
        <v>244</v>
      </c>
      <c r="AZ379" s="12"/>
      <c r="BA379" s="307"/>
      <c r="BB379" s="12"/>
      <c r="BC379" s="12"/>
      <c r="BD379" s="275"/>
      <c r="BE379" s="12">
        <f>(BD380+BD381)*BE377</f>
        <v>0</v>
      </c>
    </row>
    <row r="380" spans="1:57" ht="13.5" customHeight="1" x14ac:dyDescent="0.25">
      <c r="A380" s="377" t="s">
        <v>431</v>
      </c>
      <c r="B380" s="375" t="str">
        <f>Personnel!M98</f>
        <v>YES</v>
      </c>
      <c r="C380" s="12"/>
      <c r="D380" s="12"/>
      <c r="E380" s="12"/>
      <c r="F380" s="12"/>
      <c r="G380" s="491" t="s">
        <v>559</v>
      </c>
      <c r="H380" s="12">
        <f>BA357</f>
        <v>0</v>
      </c>
      <c r="I380" s="12"/>
      <c r="J380" s="12"/>
      <c r="K380" s="12"/>
      <c r="L380" s="12"/>
      <c r="M380" s="12"/>
      <c r="N380" s="12"/>
      <c r="O380" s="155"/>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f>IF(BD380&gt;=1,1,0)</f>
        <v>0</v>
      </c>
      <c r="AZ380" s="12"/>
      <c r="BA380" s="227"/>
      <c r="BB380" s="226"/>
      <c r="BC380" s="278" t="s">
        <v>96</v>
      </c>
      <c r="BD380" s="277">
        <f>BD342+BD355+BD368</f>
        <v>0</v>
      </c>
      <c r="BE380" s="15"/>
    </row>
    <row r="381" spans="1:57" ht="13.5" customHeight="1" thickBot="1" x14ac:dyDescent="0.3">
      <c r="A381" s="296" t="s">
        <v>439</v>
      </c>
      <c r="B381" s="114" t="s">
        <v>427</v>
      </c>
      <c r="C381" s="12"/>
      <c r="D381" s="12"/>
      <c r="E381" s="12"/>
      <c r="F381" s="12"/>
      <c r="G381" s="491" t="s">
        <v>560</v>
      </c>
      <c r="H381" s="178">
        <f>VLOOKUP(H370,'Lookup Tables'!$L$62:$Y$74,MATCH(G370,'Lookup Tables'!$L$62:$Y$62,FALSE))</f>
        <v>65</v>
      </c>
      <c r="I381" s="12"/>
      <c r="J381" s="12"/>
      <c r="K381" s="12"/>
      <c r="L381" s="12"/>
      <c r="M381" s="12"/>
      <c r="N381" s="12"/>
      <c r="O381" s="155"/>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227"/>
      <c r="BB381" s="224"/>
      <c r="BC381" s="278" t="s">
        <v>415</v>
      </c>
      <c r="BD381" s="277">
        <f>BD344+BD356+BD370</f>
        <v>0</v>
      </c>
      <c r="BE381" s="15"/>
    </row>
    <row r="382" spans="1:57" ht="13.5" customHeight="1" thickBot="1" x14ac:dyDescent="0.3">
      <c r="A382" s="380">
        <f>Personnel!M99</f>
        <v>0</v>
      </c>
      <c r="B382" s="273">
        <f>Personnel!M100</f>
        <v>0</v>
      </c>
      <c r="C382" s="12"/>
      <c r="D382" s="12"/>
      <c r="E382" s="12"/>
      <c r="F382" s="12"/>
      <c r="G382" s="12"/>
      <c r="H382" s="175">
        <f>VLOOKUP($E$4,'Lookup Tables'!$L$46:$AA$58,MATCH($H$344,'Lookup Tables'!$L$46:$X$46),FALSE)</f>
        <v>12</v>
      </c>
      <c r="I382" s="12"/>
      <c r="J382" s="12"/>
      <c r="K382" s="12"/>
      <c r="L382" s="12"/>
      <c r="M382" s="12"/>
      <c r="N382" s="12"/>
      <c r="O382" s="155"/>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227"/>
      <c r="BB382" s="224"/>
      <c r="BC382" s="278" t="s">
        <v>185</v>
      </c>
      <c r="BD382" s="285">
        <f>(BD346+BD358+BD372)*AY380</f>
        <v>0</v>
      </c>
      <c r="BE382" s="373">
        <f>BD380+BD381+BD382+BE379</f>
        <v>0</v>
      </c>
    </row>
    <row r="383" spans="1:57" ht="6" customHeight="1" thickBot="1" x14ac:dyDescent="0.3">
      <c r="A383" s="148"/>
      <c r="B383" s="149"/>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49"/>
      <c r="AL383" s="149"/>
      <c r="AM383" s="149"/>
      <c r="AN383" s="149"/>
      <c r="AO383" s="149"/>
      <c r="AP383" s="149"/>
      <c r="AQ383" s="149"/>
      <c r="AR383" s="149"/>
      <c r="AS383" s="149"/>
      <c r="AT383" s="149"/>
      <c r="AU383" s="149"/>
      <c r="AV383" s="149"/>
      <c r="AW383" s="149"/>
      <c r="AX383" s="149"/>
      <c r="AY383" s="149"/>
      <c r="AZ383" s="149"/>
      <c r="BA383" s="280"/>
      <c r="BB383" s="149"/>
      <c r="BC383" s="149"/>
      <c r="BD383" s="281"/>
      <c r="BE383" s="374"/>
    </row>
    <row r="384" spans="1:57" ht="17.25" customHeight="1" thickBot="1" x14ac:dyDescent="0.35">
      <c r="A384" s="264" t="s">
        <v>449</v>
      </c>
      <c r="B384" s="262"/>
      <c r="C384" s="262"/>
      <c r="D384" s="262"/>
      <c r="E384" s="262"/>
      <c r="F384" s="262"/>
      <c r="G384" s="262"/>
      <c r="H384" s="262"/>
      <c r="I384" s="262"/>
      <c r="J384" s="262"/>
      <c r="K384" s="262"/>
      <c r="L384" s="262"/>
      <c r="M384" s="262"/>
      <c r="N384" s="262"/>
      <c r="O384" s="262"/>
      <c r="P384" s="262"/>
      <c r="Q384" s="262"/>
      <c r="R384" s="262"/>
      <c r="S384" s="262"/>
      <c r="T384" s="262"/>
      <c r="U384" s="262"/>
      <c r="V384" s="262"/>
      <c r="W384" s="262"/>
      <c r="X384" s="262"/>
      <c r="Y384" s="262"/>
      <c r="Z384" s="262"/>
      <c r="AA384" s="262"/>
      <c r="AB384" s="262"/>
      <c r="AC384" s="262"/>
      <c r="AD384" s="262"/>
      <c r="AE384" s="262"/>
      <c r="AF384" s="262"/>
      <c r="AG384" s="262"/>
      <c r="AH384" s="262"/>
      <c r="AI384" s="262"/>
      <c r="AJ384" s="262"/>
      <c r="AK384" s="262"/>
      <c r="AL384" s="262"/>
      <c r="AM384" s="262"/>
      <c r="AN384" s="262"/>
      <c r="AO384" s="262"/>
      <c r="AP384" s="262"/>
      <c r="AQ384" s="262"/>
      <c r="AR384" s="262"/>
      <c r="AS384" s="262"/>
      <c r="AT384" s="262"/>
      <c r="AU384" s="262"/>
      <c r="AV384" s="262"/>
      <c r="AW384" s="262"/>
      <c r="AX384" s="262"/>
      <c r="AY384" s="262"/>
      <c r="AZ384" s="262"/>
      <c r="BA384" s="310"/>
      <c r="BB384" s="262"/>
      <c r="BC384" s="262"/>
      <c r="BD384" s="262"/>
      <c r="BE384" s="262"/>
    </row>
    <row r="385" spans="1:57" x14ac:dyDescent="0.25">
      <c r="A385" s="257" t="s">
        <v>419</v>
      </c>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4"/>
      <c r="AL385" s="144"/>
      <c r="AM385" s="144"/>
      <c r="AN385" s="144"/>
      <c r="AO385" s="144"/>
      <c r="AP385" s="144"/>
      <c r="AQ385" s="144"/>
      <c r="AR385" s="144"/>
      <c r="AS385" s="144"/>
      <c r="AT385" s="144"/>
      <c r="AU385" s="144"/>
      <c r="AV385" s="144"/>
      <c r="AW385" s="144"/>
      <c r="AX385" s="144"/>
      <c r="AY385" s="144"/>
      <c r="AZ385" s="144"/>
      <c r="BA385" s="282"/>
      <c r="BB385" s="144"/>
      <c r="BC385" s="144"/>
      <c r="BD385" s="283"/>
      <c r="BE385" s="12" t="s">
        <v>418</v>
      </c>
    </row>
    <row r="386" spans="1:57" ht="15.75" thickBot="1" x14ac:dyDescent="0.3">
      <c r="A386" s="377" t="s">
        <v>515</v>
      </c>
      <c r="B386" s="155" t="s">
        <v>420</v>
      </c>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306" t="s">
        <v>421</v>
      </c>
      <c r="BB386" s="401">
        <f>Personnel!O107</f>
        <v>0</v>
      </c>
      <c r="BC386" s="278" t="s">
        <v>422</v>
      </c>
      <c r="BD386" s="277">
        <f>A387*B387*BB386</f>
        <v>0</v>
      </c>
      <c r="BE386" s="372">
        <f>VLOOKUP('F&amp;ARatesCalc'!$B$1,'F&amp;ARatesCalc'!$A$3:$C$5,3,FALSE)</f>
        <v>1.57</v>
      </c>
    </row>
    <row r="387" spans="1:57" ht="15.75" thickBot="1" x14ac:dyDescent="0.3">
      <c r="A387" s="378">
        <f>Personnel!M106</f>
        <v>0</v>
      </c>
      <c r="B387" s="376">
        <f>Personnel!M107</f>
        <v>0</v>
      </c>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227"/>
      <c r="BB387" s="12"/>
      <c r="BC387" s="278" t="s">
        <v>423</v>
      </c>
      <c r="BD387" s="277">
        <f>BD386*'Rate Tables'!$P$7</f>
        <v>0</v>
      </c>
      <c r="BE387" s="379">
        <f>(BD386+BD387)*BE386</f>
        <v>0</v>
      </c>
    </row>
    <row r="388" spans="1:57" ht="5.25" customHeight="1" thickBot="1" x14ac:dyDescent="0.3">
      <c r="A388" s="148"/>
      <c r="B388" s="149"/>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49"/>
      <c r="AL388" s="149"/>
      <c r="AM388" s="149"/>
      <c r="AN388" s="149"/>
      <c r="AO388" s="149"/>
      <c r="AP388" s="149"/>
      <c r="AQ388" s="149"/>
      <c r="AR388" s="149"/>
      <c r="AS388" s="149"/>
      <c r="AT388" s="149"/>
      <c r="AU388" s="149"/>
      <c r="AV388" s="149"/>
      <c r="AW388" s="149"/>
      <c r="AX388" s="149"/>
      <c r="AY388" s="149"/>
      <c r="AZ388" s="149"/>
      <c r="BA388" s="280"/>
      <c r="BB388" s="149"/>
      <c r="BC388" s="149"/>
      <c r="BD388" s="281"/>
      <c r="BE388" s="374"/>
    </row>
    <row r="389" spans="1:57" x14ac:dyDescent="0.25">
      <c r="A389" s="257" t="s">
        <v>424</v>
      </c>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4"/>
      <c r="AL389" s="144"/>
      <c r="AM389" s="144"/>
      <c r="AN389" s="144"/>
      <c r="AO389" s="144"/>
      <c r="AP389" s="144"/>
      <c r="AQ389" s="144"/>
      <c r="AR389" s="144"/>
      <c r="AS389" s="144"/>
      <c r="AT389" s="144"/>
      <c r="AU389" s="144"/>
      <c r="AV389" s="144"/>
      <c r="AW389" s="144"/>
      <c r="AX389" s="144"/>
      <c r="AY389" s="144"/>
      <c r="AZ389" s="144"/>
      <c r="BA389" s="282"/>
      <c r="BB389" s="144"/>
      <c r="BC389" s="144"/>
      <c r="BD389" s="283"/>
      <c r="BE389" s="12" t="s">
        <v>418</v>
      </c>
    </row>
    <row r="390" spans="1:57" ht="15.75" thickBot="1" x14ac:dyDescent="0.3">
      <c r="A390" s="377" t="s">
        <v>515</v>
      </c>
      <c r="B390" s="155" t="s">
        <v>420</v>
      </c>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306" t="s">
        <v>421</v>
      </c>
      <c r="BB390" s="401">
        <f>Personnel!O111</f>
        <v>0</v>
      </c>
      <c r="BC390" s="278" t="s">
        <v>422</v>
      </c>
      <c r="BD390" s="277">
        <f>A391*B391*BB390</f>
        <v>0</v>
      </c>
      <c r="BE390" s="372">
        <f>VLOOKUP('F&amp;ARatesCalc'!$B$1,'F&amp;ARatesCalc'!$A$3:$C$5,3,FALSE)</f>
        <v>1.57</v>
      </c>
    </row>
    <row r="391" spans="1:57" ht="15.75" thickBot="1" x14ac:dyDescent="0.3">
      <c r="A391" s="378">
        <f>Personnel!M110</f>
        <v>0</v>
      </c>
      <c r="B391" s="376">
        <f>Personnel!M111</f>
        <v>0</v>
      </c>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227"/>
      <c r="BB391" s="12"/>
      <c r="BC391" s="278" t="s">
        <v>423</v>
      </c>
      <c r="BD391" s="277">
        <f>BD390*'Rate Tables'!$P$7</f>
        <v>0</v>
      </c>
      <c r="BE391" s="379">
        <f>(BD390+BD391)*BE390</f>
        <v>0</v>
      </c>
    </row>
    <row r="392" spans="1:57" ht="5.25" customHeight="1" thickBot="1" x14ac:dyDescent="0.3">
      <c r="A392" s="148"/>
      <c r="B392" s="149"/>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49"/>
      <c r="AL392" s="149"/>
      <c r="AM392" s="149"/>
      <c r="AN392" s="149"/>
      <c r="AO392" s="149"/>
      <c r="AP392" s="149"/>
      <c r="AQ392" s="149"/>
      <c r="AR392" s="149"/>
      <c r="AS392" s="149"/>
      <c r="AT392" s="149"/>
      <c r="AU392" s="149"/>
      <c r="AV392" s="149"/>
      <c r="AW392" s="149"/>
      <c r="AX392" s="149"/>
      <c r="AY392" s="149"/>
      <c r="AZ392" s="149"/>
      <c r="BA392" s="280"/>
      <c r="BB392" s="149"/>
      <c r="BC392" s="149"/>
      <c r="BD392" s="281"/>
      <c r="BE392" s="374"/>
    </row>
    <row r="393" spans="1:57" x14ac:dyDescent="0.25">
      <c r="A393" s="257" t="s">
        <v>425</v>
      </c>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4"/>
      <c r="AL393" s="144"/>
      <c r="AM393" s="144"/>
      <c r="AN393" s="144"/>
      <c r="AO393" s="144"/>
      <c r="AP393" s="144"/>
      <c r="AQ393" s="144"/>
      <c r="AR393" s="144"/>
      <c r="AS393" s="144"/>
      <c r="AT393" s="144"/>
      <c r="AU393" s="144"/>
      <c r="AV393" s="144"/>
      <c r="AW393" s="144"/>
      <c r="AX393" s="144"/>
      <c r="AY393" s="144"/>
      <c r="AZ393" s="144"/>
      <c r="BA393" s="282"/>
      <c r="BB393" s="144"/>
      <c r="BC393" s="144"/>
      <c r="BD393" s="283"/>
      <c r="BE393" s="12" t="s">
        <v>418</v>
      </c>
    </row>
    <row r="394" spans="1:57" ht="15.75" thickBot="1" x14ac:dyDescent="0.3">
      <c r="A394" s="377" t="s">
        <v>515</v>
      </c>
      <c r="B394" s="155" t="s">
        <v>420</v>
      </c>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306" t="s">
        <v>421</v>
      </c>
      <c r="BB394" s="401">
        <f>Personnel!O115</f>
        <v>0</v>
      </c>
      <c r="BC394" s="278" t="s">
        <v>422</v>
      </c>
      <c r="BD394" s="277">
        <f>A395*B395*BB394</f>
        <v>0</v>
      </c>
      <c r="BE394" s="372">
        <f>VLOOKUP('F&amp;ARatesCalc'!$B$1,'F&amp;ARatesCalc'!$A$3:$C$5,3,FALSE)</f>
        <v>1.57</v>
      </c>
    </row>
    <row r="395" spans="1:57" ht="15.75" thickBot="1" x14ac:dyDescent="0.3">
      <c r="A395" s="378">
        <f>Personnel!M114</f>
        <v>0</v>
      </c>
      <c r="B395" s="376">
        <f>Personnel!M115</f>
        <v>0</v>
      </c>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227"/>
      <c r="BB395" s="12"/>
      <c r="BC395" s="278" t="s">
        <v>423</v>
      </c>
      <c r="BD395" s="277">
        <f>BD394*'Rate Tables'!$P$7</f>
        <v>0</v>
      </c>
      <c r="BE395" s="379">
        <f>(BD394+BD395)*BE394</f>
        <v>0</v>
      </c>
    </row>
    <row r="396" spans="1:57" ht="5.25" customHeight="1" thickBot="1" x14ac:dyDescent="0.3">
      <c r="A396" s="148"/>
      <c r="B396" s="149"/>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49"/>
      <c r="AL396" s="149"/>
      <c r="AM396" s="149"/>
      <c r="AN396" s="149"/>
      <c r="AO396" s="149"/>
      <c r="AP396" s="149"/>
      <c r="AQ396" s="149"/>
      <c r="AR396" s="149"/>
      <c r="AS396" s="149"/>
      <c r="AT396" s="149"/>
      <c r="AU396" s="149"/>
      <c r="AV396" s="149"/>
      <c r="AW396" s="149"/>
      <c r="AX396" s="149"/>
      <c r="AY396" s="149"/>
      <c r="AZ396" s="149"/>
      <c r="BA396" s="280"/>
      <c r="BB396" s="149"/>
      <c r="BC396" s="149"/>
      <c r="BD396" s="281"/>
      <c r="BE396" s="374"/>
    </row>
  </sheetData>
  <mergeCells count="8">
    <mergeCell ref="BA304:BA307"/>
    <mergeCell ref="BA346:BA349"/>
    <mergeCell ref="A1:D1"/>
    <mergeCell ref="AM1:BD2"/>
    <mergeCell ref="A2:C2"/>
    <mergeCell ref="BA178:BA181"/>
    <mergeCell ref="BA220:BA223"/>
    <mergeCell ref="BA262:BA265"/>
  </mergeCells>
  <dataValidations count="7">
    <dataValidation type="whole" operator="lessThan" allowBlank="1" showInputMessage="1" showErrorMessage="1" errorTitle="Cannot exceed 11 months" error="If starting after the start month of the project, months paid for this person cannot exceed 11 and should not extend past end month of project." sqref="B86 B120 B106 B132 B144 B156 B168 B212 B254 B296 B338 B382" xr:uid="{00000000-0002-0000-0500-000000000000}">
      <formula1>12</formula1>
    </dataValidation>
    <dataValidation type="whole" operator="lessThan" allowBlank="1" showInputMessage="1" showErrorMessage="1" errorTitle="Cannot exceed 11 months" error="If starting after the start month of the project, months paid jfor this person cannot exceed 11 and should not extend past end month of project." sqref="B66" xr:uid="{00000000-0002-0000-0500-000001000000}">
      <formula1>12</formula1>
    </dataValidation>
    <dataValidation type="whole" operator="lessThan" allowBlank="1" showErrorMessage="1" errorTitle="Cannot exceed 11 months" error="If starting after the start month of the project, months paid for this person cannot exceed 11 and should not extend past end month of project._x000a_" promptTitle="Cannot exceed 11 months" prompt="If starting after the start month of the project, months paid cannot exceed 11 and should not extend past end month of project._x000a_" sqref="B26" xr:uid="{00000000-0002-0000-0500-000002000000}">
      <formula1>C5</formula1>
    </dataValidation>
    <dataValidation type="whole" operator="lessThan" allowBlank="1" showInputMessage="1" showErrorMessage="1" errorTitle="Cannot exceed 11 months" error="If starting after the start month of the project, months paid for this person cannot exceed 11 and shoul dnot extend past end month of project." sqref="B46" xr:uid="{00000000-0002-0000-0500-000003000000}">
      <formula1>12</formula1>
    </dataValidation>
    <dataValidation type="whole" operator="lessThan" allowBlank="1" showInputMessage="1" showErrorMessage="1" errorTitle="Summer Effort Exceeds Limit" error="Summer Effort cannot exceed 65 days._x000a_" sqref="BB17 BB37 BB57 BB97 BB77" xr:uid="{00000000-0002-0000-0500-000004000000}">
      <formula1>66</formula1>
    </dataValidation>
    <dataValidation type="list" allowBlank="1" showInputMessage="1" showErrorMessage="1" sqref="B172 B214 B256 B298 B340" xr:uid="{00000000-0002-0000-0500-000005000000}">
      <formula1>"9 Month, 12 Month"</formula1>
    </dataValidation>
    <dataValidation type="list" allowBlank="1" showInputMessage="1" showErrorMessage="1" sqref="C4" xr:uid="{00000000-0002-0000-0500-000006000000}">
      <formula1>"Jan, Feb, Mar, Apr, May, June, July, Aug, Sept, Oct, Nov, Dec"</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500-000007000000}">
          <x14:formula1>
            <xm:f>'Rate Tables'!$O$2:$O$7</xm:f>
          </x14:formula1>
          <xm:sqref>B111 B89 B69 B49 B29 B159 B147 B135 B123</xm:sqref>
        </x14:dataValidation>
        <x14:dataValidation type="list" allowBlank="1" showInputMessage="1" showErrorMessage="1" xr:uid="{00000000-0002-0000-0500-000008000000}">
          <x14:formula1>
            <xm:f>'Lookup Tables'!$AK$28:$AK$29</xm:f>
          </x14:formula1>
          <xm:sqref>B17 B37 B57 B77 B97 B118 B130 B142 B154 B166 B210 B252 B294 B336 B380</xm:sqref>
        </x14:dataValidation>
        <x14:dataValidation type="list" allowBlank="1" showInputMessage="1" showErrorMessage="1" xr:uid="{00000000-0002-0000-0500-000009000000}">
          <x14:formula1>
            <xm:f>'Lookup Tables'!$AF$22:$AF$24</xm:f>
          </x14:formula1>
          <xm:sqref>BB187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BO478"/>
  <sheetViews>
    <sheetView topLeftCell="A57" zoomScale="80" zoomScaleNormal="80" workbookViewId="0">
      <selection activeCell="Z80" sqref="Z80"/>
    </sheetView>
  </sheetViews>
  <sheetFormatPr defaultRowHeight="15" x14ac:dyDescent="0.25"/>
  <cols>
    <col min="1" max="1" width="20.5703125" customWidth="1"/>
    <col min="2" max="2" width="20.140625" customWidth="1"/>
    <col min="3" max="3" width="10.140625" bestFit="1" customWidth="1"/>
    <col min="10" max="10" width="15.42578125" customWidth="1"/>
    <col min="15" max="15" width="10" customWidth="1"/>
    <col min="23" max="23" width="12.28515625" bestFit="1" customWidth="1"/>
    <col min="26" max="26" width="12.28515625" bestFit="1" customWidth="1"/>
    <col min="27" max="27" width="10.28515625" customWidth="1"/>
    <col min="35" max="35" width="12.28515625" bestFit="1" customWidth="1"/>
    <col min="37" max="37" width="10.140625" bestFit="1" customWidth="1"/>
    <col min="38" max="38" width="10.42578125" customWidth="1"/>
    <col min="49" max="49" width="10.140625" bestFit="1" customWidth="1"/>
    <col min="58" max="58" width="10.140625" bestFit="1" customWidth="1"/>
    <col min="60" max="60" width="11.28515625" bestFit="1" customWidth="1"/>
    <col min="66" max="66" width="12.28515625" bestFit="1" customWidth="1"/>
  </cols>
  <sheetData>
    <row r="1" spans="1:67" ht="21" x14ac:dyDescent="0.35">
      <c r="A1" s="1200" t="s">
        <v>243</v>
      </c>
      <c r="B1" s="1200"/>
      <c r="C1" s="1200"/>
      <c r="D1" s="1200"/>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202"/>
      <c r="AN1" s="1202"/>
      <c r="AO1" s="1202"/>
      <c r="AP1" s="1202"/>
      <c r="AQ1" s="1202"/>
      <c r="AR1" s="1202"/>
      <c r="AS1" s="1202"/>
      <c r="AT1" s="1202"/>
      <c r="AU1" s="1202"/>
      <c r="AV1" s="1202"/>
      <c r="AW1" s="1202"/>
      <c r="AX1" s="1202"/>
      <c r="AY1" s="1202"/>
      <c r="AZ1" s="1202"/>
      <c r="BA1" s="1202"/>
      <c r="BB1" s="1202"/>
      <c r="BC1" s="1202"/>
      <c r="BD1" s="1202"/>
      <c r="BE1" s="1202"/>
      <c r="BF1" s="1202"/>
      <c r="BG1" s="1202"/>
      <c r="BH1" s="1202"/>
      <c r="BI1" s="1202"/>
      <c r="BJ1" s="1202"/>
      <c r="BK1" s="1202"/>
      <c r="BL1" s="1202"/>
      <c r="BM1" s="1202"/>
      <c r="BN1" s="1202"/>
      <c r="BO1" s="750"/>
    </row>
    <row r="2" spans="1:67" ht="15.75" x14ac:dyDescent="0.25">
      <c r="A2" s="1201" t="s">
        <v>242</v>
      </c>
      <c r="B2" s="1201"/>
      <c r="C2" s="1201"/>
      <c r="D2" s="174"/>
      <c r="E2" s="16"/>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202"/>
      <c r="AN2" s="1202"/>
      <c r="AO2" s="1202"/>
      <c r="AP2" s="1202"/>
      <c r="AQ2" s="1202"/>
      <c r="AR2" s="1202"/>
      <c r="AS2" s="1202"/>
      <c r="AT2" s="1202"/>
      <c r="AU2" s="1202"/>
      <c r="AV2" s="1202"/>
      <c r="AW2" s="1202"/>
      <c r="AX2" s="1202"/>
      <c r="AY2" s="1202"/>
      <c r="AZ2" s="1202"/>
      <c r="BA2" s="1202"/>
      <c r="BB2" s="1202"/>
      <c r="BC2" s="1202"/>
      <c r="BD2" s="1202"/>
      <c r="BE2" s="1202"/>
      <c r="BF2" s="1202"/>
      <c r="BG2" s="1202"/>
      <c r="BH2" s="1202"/>
      <c r="BI2" s="1202"/>
      <c r="BJ2" s="1202"/>
      <c r="BK2" s="1202"/>
      <c r="BL2" s="1202"/>
      <c r="BM2" s="1202"/>
      <c r="BN2" s="1202"/>
      <c r="BO2" s="750"/>
    </row>
    <row r="3" spans="1:67" ht="15.75" thickBot="1" x14ac:dyDescent="0.3">
      <c r="A3" s="11"/>
      <c r="B3" s="288"/>
      <c r="C3" s="288" t="s">
        <v>14</v>
      </c>
      <c r="D3" s="173" t="s">
        <v>15</v>
      </c>
      <c r="E3" s="175"/>
      <c r="F3" s="689"/>
      <c r="G3" s="175"/>
      <c r="H3" s="175"/>
      <c r="I3" s="11"/>
      <c r="J3" s="175"/>
      <c r="K3" s="175"/>
      <c r="L3" s="175"/>
      <c r="M3" s="175"/>
      <c r="N3" s="175"/>
      <c r="O3" s="175"/>
      <c r="P3" s="17"/>
      <c r="Q3" s="17"/>
      <c r="R3" s="17"/>
      <c r="S3" s="17"/>
      <c r="T3" s="17"/>
      <c r="U3" s="17"/>
      <c r="V3" s="17"/>
      <c r="W3" s="17"/>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304"/>
      <c r="BL3" s="11"/>
      <c r="BM3" s="11"/>
      <c r="BN3" s="11"/>
      <c r="BO3" s="11"/>
    </row>
    <row r="4" spans="1:67" ht="15.75" thickBot="1" x14ac:dyDescent="0.3">
      <c r="A4" s="11"/>
      <c r="B4" s="292" t="s">
        <v>17</v>
      </c>
      <c r="C4" s="692" t="str">
        <f>VLOOKUP(PersonCalcYr2!G6,'Lookup Tables'!A37:B151,2,FALSE)</f>
        <v>Sept</v>
      </c>
      <c r="D4" s="693">
        <f>PersonCalcYr2!I6</f>
        <v>2024</v>
      </c>
      <c r="E4" s="175">
        <f>VLOOKUP($C4,'Lookup Tables'!$A$22:$B$33,2,FALSE)</f>
        <v>3</v>
      </c>
      <c r="F4" s="689"/>
      <c r="G4" s="175"/>
      <c r="H4" s="175"/>
      <c r="I4" s="175"/>
      <c r="J4" s="175"/>
      <c r="K4" s="116"/>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304"/>
      <c r="BL4" s="11"/>
      <c r="BM4" s="11"/>
      <c r="BN4" s="11"/>
      <c r="BO4" s="11"/>
    </row>
    <row r="5" spans="1:67" x14ac:dyDescent="0.25">
      <c r="A5" s="11"/>
      <c r="B5" s="270" t="s">
        <v>647</v>
      </c>
      <c r="C5" s="273">
        <f>Personnel!Y4</f>
        <v>12</v>
      </c>
      <c r="D5" s="177"/>
      <c r="E5" s="177"/>
      <c r="F5" s="690"/>
      <c r="G5" s="175"/>
      <c r="H5" s="175"/>
      <c r="I5" s="175"/>
      <c r="J5" s="175"/>
      <c r="K5" s="116"/>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304"/>
      <c r="BL5" s="11"/>
      <c r="BM5" s="11"/>
      <c r="BN5" s="11"/>
      <c r="BO5" s="11"/>
    </row>
    <row r="6" spans="1:67" x14ac:dyDescent="0.25">
      <c r="A6" s="11"/>
      <c r="B6" s="270"/>
      <c r="C6" s="270"/>
      <c r="D6" s="177"/>
      <c r="E6" s="177"/>
      <c r="F6" s="690"/>
      <c r="G6" s="175"/>
      <c r="H6" s="175"/>
      <c r="I6" s="175"/>
      <c r="J6" s="175"/>
      <c r="K6" s="116"/>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304"/>
      <c r="BL6" s="11"/>
      <c r="BM6" s="11"/>
      <c r="BN6" s="11"/>
      <c r="BO6" s="11"/>
    </row>
    <row r="7" spans="1:67" ht="45.75" x14ac:dyDescent="0.3">
      <c r="A7" s="260" t="s">
        <v>340</v>
      </c>
      <c r="B7" s="293"/>
      <c r="C7" s="290"/>
      <c r="D7" s="261"/>
      <c r="E7" s="261"/>
      <c r="F7" s="261"/>
      <c r="G7" s="261"/>
      <c r="H7" s="261"/>
      <c r="I7" s="261"/>
      <c r="J7" s="261"/>
      <c r="K7" s="261"/>
      <c r="L7" s="261"/>
      <c r="M7" s="261"/>
      <c r="N7" s="261"/>
      <c r="O7" s="261"/>
      <c r="P7" s="261"/>
      <c r="Q7" s="261"/>
      <c r="R7" s="261"/>
      <c r="S7" s="261"/>
      <c r="T7" s="261"/>
      <c r="U7" s="610"/>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305"/>
      <c r="BL7" s="262"/>
      <c r="BM7" s="262"/>
      <c r="BN7" s="262"/>
      <c r="BO7" s="371" t="s">
        <v>410</v>
      </c>
    </row>
    <row r="8" spans="1:67" ht="26.25" x14ac:dyDescent="0.25">
      <c r="A8" s="296" t="s">
        <v>174</v>
      </c>
      <c r="B8" s="162" t="s">
        <v>335</v>
      </c>
      <c r="C8" s="259" t="s">
        <v>605</v>
      </c>
      <c r="D8" s="178"/>
      <c r="E8" s="178"/>
      <c r="F8" s="178"/>
      <c r="G8" s="178"/>
      <c r="H8" s="178"/>
      <c r="I8" s="178"/>
      <c r="J8" s="178"/>
      <c r="K8" s="178"/>
      <c r="L8" s="178"/>
      <c r="M8" s="178"/>
      <c r="N8" s="493">
        <v>44013</v>
      </c>
      <c r="O8" s="694">
        <v>44377</v>
      </c>
      <c r="P8" s="178"/>
      <c r="Q8" s="178"/>
      <c r="R8" s="178"/>
      <c r="S8" s="178"/>
      <c r="T8" s="178"/>
      <c r="U8" s="178"/>
      <c r="V8" s="178"/>
      <c r="W8" s="178"/>
      <c r="X8" s="178"/>
      <c r="Y8" s="178"/>
      <c r="Z8" s="493">
        <v>44378</v>
      </c>
      <c r="AA8" s="694">
        <v>44742</v>
      </c>
      <c r="AB8" s="178"/>
      <c r="AC8" s="178"/>
      <c r="AD8" s="178"/>
      <c r="AE8" s="178"/>
      <c r="AF8" s="178"/>
      <c r="AG8" s="178"/>
      <c r="AH8" s="178"/>
      <c r="AI8" s="178"/>
      <c r="AJ8" s="178"/>
      <c r="AK8" s="493">
        <v>44743</v>
      </c>
      <c r="AL8" s="694">
        <v>45107</v>
      </c>
      <c r="AM8" s="178"/>
      <c r="AN8" s="178"/>
      <c r="AO8" s="178"/>
      <c r="AP8" s="178"/>
      <c r="AQ8" s="178"/>
      <c r="AR8" s="178"/>
      <c r="AS8" s="178"/>
      <c r="AT8" s="178"/>
      <c r="AU8" s="178"/>
      <c r="AV8" s="493">
        <v>45108</v>
      </c>
      <c r="AW8" s="694">
        <v>45473</v>
      </c>
      <c r="AX8" s="178"/>
      <c r="AY8" s="178"/>
      <c r="AZ8" s="178"/>
      <c r="BA8" s="178"/>
      <c r="BB8" s="178"/>
      <c r="BC8" s="178"/>
      <c r="BD8" s="178"/>
      <c r="BE8" s="178"/>
      <c r="BF8" s="178"/>
      <c r="BG8" s="493">
        <v>45474</v>
      </c>
      <c r="BH8" s="694">
        <v>45838</v>
      </c>
      <c r="BI8" s="178"/>
      <c r="BJ8" s="178"/>
      <c r="BK8" s="227"/>
      <c r="BL8" s="12"/>
      <c r="BM8" s="12"/>
      <c r="BN8" s="275"/>
      <c r="BO8" s="12"/>
    </row>
    <row r="9" spans="1:67" x14ac:dyDescent="0.25">
      <c r="A9" s="345">
        <f>Personnel!C10</f>
        <v>0</v>
      </c>
      <c r="B9" s="346" t="str">
        <f>Personnel!C9</f>
        <v>Faculty</v>
      </c>
      <c r="C9" s="353">
        <f>Personnel!C11</f>
        <v>0</v>
      </c>
      <c r="D9" s="178"/>
      <c r="E9" s="178"/>
      <c r="F9" s="178"/>
      <c r="G9" s="178"/>
      <c r="H9" s="178"/>
      <c r="I9" s="178"/>
      <c r="J9" s="178"/>
      <c r="K9" s="178"/>
      <c r="L9" s="178"/>
      <c r="M9" s="178"/>
      <c r="N9" s="178"/>
      <c r="O9" s="217">
        <v>22</v>
      </c>
      <c r="P9" s="178"/>
      <c r="Q9" s="178"/>
      <c r="R9" s="178"/>
      <c r="S9" s="178"/>
      <c r="T9" s="178"/>
      <c r="U9" s="178"/>
      <c r="V9" s="178"/>
      <c r="W9" s="178"/>
      <c r="X9" s="178"/>
      <c r="Y9" s="178"/>
      <c r="Z9" s="178"/>
      <c r="AA9" s="217">
        <v>23</v>
      </c>
      <c r="AB9" s="178"/>
      <c r="AC9" s="178"/>
      <c r="AD9" s="178"/>
      <c r="AE9" s="178"/>
      <c r="AF9" s="178"/>
      <c r="AG9" s="178"/>
      <c r="AH9" s="178"/>
      <c r="AI9" s="178"/>
      <c r="AJ9" s="178"/>
      <c r="AK9" s="178"/>
      <c r="AL9" s="217">
        <v>24</v>
      </c>
      <c r="AM9" s="178"/>
      <c r="AN9" s="178"/>
      <c r="AO9" s="178"/>
      <c r="AP9" s="178"/>
      <c r="AQ9" s="178"/>
      <c r="AR9" s="178"/>
      <c r="AS9" s="178"/>
      <c r="AT9" s="178"/>
      <c r="AU9" s="178"/>
      <c r="AV9" s="178"/>
      <c r="AW9" s="217">
        <v>24</v>
      </c>
      <c r="AX9" s="178"/>
      <c r="AY9" s="178"/>
      <c r="AZ9" s="178"/>
      <c r="BA9" s="178"/>
      <c r="BB9" s="178"/>
      <c r="BC9" s="178"/>
      <c r="BD9" s="178"/>
      <c r="BE9" s="178"/>
      <c r="BF9" s="178"/>
      <c r="BG9" s="178"/>
      <c r="BH9" s="217">
        <v>24</v>
      </c>
      <c r="BI9" s="178"/>
      <c r="BJ9" s="178"/>
      <c r="BK9" s="306" t="s">
        <v>412</v>
      </c>
      <c r="BL9" s="348">
        <f>Personnel!W9</f>
        <v>0</v>
      </c>
      <c r="BM9" s="276" t="s">
        <v>414</v>
      </c>
      <c r="BN9" s="277">
        <f>(N11+N13+N15+N17+Z11+Z13+Z15+Z17+AK11+AK13+AK15+AK17+AV11+AV13+AV15+AV17+BG11+BG13+BG15+BG17)*BL18</f>
        <v>0</v>
      </c>
      <c r="BO9" s="224"/>
    </row>
    <row r="10" spans="1:67" x14ac:dyDescent="0.25">
      <c r="A10" s="296"/>
      <c r="B10" s="116"/>
      <c r="C10" s="117" t="s">
        <v>30</v>
      </c>
      <c r="D10" s="178"/>
      <c r="E10" s="153" t="s">
        <v>16</v>
      </c>
      <c r="F10" s="153" t="s">
        <v>42</v>
      </c>
      <c r="G10" s="153" t="s">
        <v>41</v>
      </c>
      <c r="H10" s="183" t="s">
        <v>77</v>
      </c>
      <c r="I10" s="184" t="s">
        <v>90</v>
      </c>
      <c r="J10" s="185" t="s">
        <v>70</v>
      </c>
      <c r="K10" s="186" t="s">
        <v>577</v>
      </c>
      <c r="L10" s="153" t="s">
        <v>578</v>
      </c>
      <c r="M10" s="153" t="s">
        <v>82</v>
      </c>
      <c r="N10" s="153" t="s">
        <v>31</v>
      </c>
      <c r="O10" s="135" t="s">
        <v>69</v>
      </c>
      <c r="P10" s="153" t="s">
        <v>72</v>
      </c>
      <c r="Q10" s="183" t="s">
        <v>80</v>
      </c>
      <c r="R10" s="187" t="s">
        <v>81</v>
      </c>
      <c r="S10" s="183" t="s">
        <v>77</v>
      </c>
      <c r="T10" s="598" t="s">
        <v>83</v>
      </c>
      <c r="U10" s="185" t="s">
        <v>70</v>
      </c>
      <c r="V10" s="153" t="s">
        <v>91</v>
      </c>
      <c r="W10" s="153" t="s">
        <v>43</v>
      </c>
      <c r="X10" s="153" t="s">
        <v>53</v>
      </c>
      <c r="Y10" s="153" t="s">
        <v>68</v>
      </c>
      <c r="Z10" s="153" t="s">
        <v>32</v>
      </c>
      <c r="AA10" s="135" t="s">
        <v>69</v>
      </c>
      <c r="AB10" s="153" t="s">
        <v>72</v>
      </c>
      <c r="AC10" s="153" t="s">
        <v>80</v>
      </c>
      <c r="AD10" s="187" t="s">
        <v>81</v>
      </c>
      <c r="AE10" s="183" t="s">
        <v>77</v>
      </c>
      <c r="AF10" s="185" t="s">
        <v>70</v>
      </c>
      <c r="AG10" s="153" t="s">
        <v>92</v>
      </c>
      <c r="AH10" s="153" t="s">
        <v>44</v>
      </c>
      <c r="AI10" s="153" t="s">
        <v>78</v>
      </c>
      <c r="AJ10" s="153" t="s">
        <v>68</v>
      </c>
      <c r="AK10" s="153" t="s">
        <v>33</v>
      </c>
      <c r="AL10" s="135" t="s">
        <v>69</v>
      </c>
      <c r="AM10" s="153" t="s">
        <v>72</v>
      </c>
      <c r="AN10" s="153" t="s">
        <v>80</v>
      </c>
      <c r="AO10" s="187" t="s">
        <v>81</v>
      </c>
      <c r="AP10" s="183" t="s">
        <v>77</v>
      </c>
      <c r="AQ10" s="185" t="s">
        <v>70</v>
      </c>
      <c r="AR10" s="153" t="s">
        <v>92</v>
      </c>
      <c r="AS10" s="153" t="s">
        <v>44</v>
      </c>
      <c r="AT10" s="153" t="s">
        <v>78</v>
      </c>
      <c r="AU10" s="153" t="s">
        <v>68</v>
      </c>
      <c r="AV10" s="153" t="s">
        <v>33</v>
      </c>
      <c r="AW10" s="135" t="s">
        <v>69</v>
      </c>
      <c r="AX10" s="153" t="s">
        <v>72</v>
      </c>
      <c r="AY10" s="153" t="s">
        <v>80</v>
      </c>
      <c r="AZ10" s="187" t="s">
        <v>81</v>
      </c>
      <c r="BA10" s="183" t="s">
        <v>77</v>
      </c>
      <c r="BB10" s="185" t="s">
        <v>70</v>
      </c>
      <c r="BC10" s="153" t="s">
        <v>92</v>
      </c>
      <c r="BD10" s="153" t="s">
        <v>44</v>
      </c>
      <c r="BE10" s="153" t="s">
        <v>78</v>
      </c>
      <c r="BF10" s="153" t="s">
        <v>68</v>
      </c>
      <c r="BG10" s="153" t="s">
        <v>33</v>
      </c>
      <c r="BH10" s="135" t="s">
        <v>69</v>
      </c>
      <c r="BI10" s="153"/>
      <c r="BJ10" s="178"/>
      <c r="BK10" s="227"/>
      <c r="BL10" s="349"/>
      <c r="BM10" s="227"/>
      <c r="BN10" s="275"/>
      <c r="BO10" s="12"/>
    </row>
    <row r="11" spans="1:67" x14ac:dyDescent="0.25">
      <c r="A11" s="296"/>
      <c r="B11" s="116"/>
      <c r="C11" s="115"/>
      <c r="D11" s="178"/>
      <c r="E11" s="189">
        <f>BL$9</f>
        <v>0</v>
      </c>
      <c r="F11" s="190">
        <f>IF($D$4=2022,1,0)</f>
        <v>0</v>
      </c>
      <c r="G11" s="178">
        <f>IF($B19="Yes",$C$5,$I19)</f>
        <v>12</v>
      </c>
      <c r="H11" s="191">
        <f>VLOOKUP($H$18,'Lookup Tables'!$A$22:$B$33,2,FALSE)</f>
        <v>3</v>
      </c>
      <c r="I11" s="192">
        <f>VLOOKUP($E$4,'Lookup Tables'!$AB$46:$AN$58,MATCH($H11,'Lookup Tables'!$AB$46:$AN$46),FALSE)</f>
        <v>12</v>
      </c>
      <c r="J11" s="585">
        <f>VLOOKUP(H11,'Lookup Tables'!$A$3:$AA$16,MATCH(PersonCalcYr3!$G$11,'Lookup Tables'!$A$3:$AA$3),FALSE)</f>
        <v>1.5161</v>
      </c>
      <c r="K11" s="194">
        <f>VLOOKUP(H18,'Lookup Tables'!$K$23:$L$34,2,FALSE)</f>
        <v>0</v>
      </c>
      <c r="L11" s="178">
        <f>IF(G11&lt;=K11,G11,K11)</f>
        <v>0</v>
      </c>
      <c r="M11" s="195">
        <f>IF(12-I11&gt;=1,1,0)</f>
        <v>0</v>
      </c>
      <c r="N11" s="196">
        <f>(('Rate Tables'!B4*PersonCalcYr3!E11)*PersonCalcYr3!L11)*PersonCalcYr3!F11*M11</f>
        <v>0</v>
      </c>
      <c r="O11" s="215">
        <f>G11-((J11+L11)*M11)</f>
        <v>12</v>
      </c>
      <c r="P11" s="197">
        <f>IF(O11&lt;0,O11*0,1)*O11</f>
        <v>12</v>
      </c>
      <c r="Q11" s="198">
        <f>H11+(L11*M11)+(J11*M11)</f>
        <v>3</v>
      </c>
      <c r="R11" s="199" t="str">
        <f>VLOOKUP(Q11,'Lookup Tables'!$A$38:$B$151,2,FALSE)</f>
        <v>Sept</v>
      </c>
      <c r="S11" s="191">
        <f>VLOOKUP(R11,'Lookup Tables'!$A$22:$B$33,2,FALSE)</f>
        <v>3</v>
      </c>
      <c r="T11" s="634">
        <f>VLOOKUP($E$4,'Lookup Tables'!$AB$63:$AN$75,MATCH(PersonCalcYr3!$S11,'Lookup Tables'!$AB$63:$AN$63),FALSE)</f>
        <v>0.5161</v>
      </c>
      <c r="U11" s="200">
        <f>VLOOKUP(S11,'Lookup Tables'!$A$3:$AA$16,MATCH(PersonCalcYr3!$P11,'Lookup Tables'!$A$3:$AA$3),FALSE)</f>
        <v>1.5161</v>
      </c>
      <c r="V11" s="633">
        <f>9-T11</f>
        <v>8.4839000000000002</v>
      </c>
      <c r="W11" s="589">
        <f>P11-U11</f>
        <v>10.4839</v>
      </c>
      <c r="X11" s="590">
        <f>IF(V11&lt;=W11,V11,W11)</f>
        <v>8.4839000000000002</v>
      </c>
      <c r="Y11" s="195">
        <f>IF(12-T11-U11-X11&gt;=0,1,0)</f>
        <v>1</v>
      </c>
      <c r="Z11" s="202">
        <f>((('Rate Tables'!C4*$E11)*PersonCalcYr3!$X11)*$F11)*Y11</f>
        <v>0</v>
      </c>
      <c r="AA11" s="215">
        <f>O11-(((U11*U19)+X11)*Y11)</f>
        <v>2</v>
      </c>
      <c r="AB11" s="197">
        <f>IF(AA11&lt;0,AA11*0,1)*AA11</f>
        <v>2</v>
      </c>
      <c r="AC11" s="203">
        <f>S11+(X11*Y11)+((U11*U19)*Y11)</f>
        <v>13</v>
      </c>
      <c r="AD11" s="199" t="str">
        <f>VLOOKUP(AC11,'Lookup Tables'!$A$38:$B$151,2,FALSE)</f>
        <v>July</v>
      </c>
      <c r="AE11" s="191">
        <f>VLOOKUP(AD11,'Lookup Tables'!$A$22:$B$33,2,FALSE)</f>
        <v>1</v>
      </c>
      <c r="AF11" s="200">
        <f>VLOOKUP(AE11,'Lookup Tables'!$A$3:$AA$16,MATCH(PersonCalcYr3!AB11,'Lookup Tables'!$A$3:$AA$3),FALSE)</f>
        <v>1.4839</v>
      </c>
      <c r="AG11" s="178">
        <v>9</v>
      </c>
      <c r="AH11" s="201">
        <f>AB11-AF11</f>
        <v>0.5161</v>
      </c>
      <c r="AI11" s="195">
        <f>IF(AG11&lt;=AH11,AG11,AH11)</f>
        <v>0.5161</v>
      </c>
      <c r="AJ11" s="195">
        <f>IF((AG11+AF11)&lt;=0,0,1)</f>
        <v>1</v>
      </c>
      <c r="AK11" s="204">
        <f>((('Rate Tables'!D4*$E11)*PersonCalcYr3!AI11)*$F11)*AJ11</f>
        <v>0</v>
      </c>
      <c r="AL11" s="215">
        <f>AB11-AF11-AI11</f>
        <v>0</v>
      </c>
      <c r="AM11" s="197">
        <f>IF(AL11&lt;0,AL11*0,1)*AL11</f>
        <v>0</v>
      </c>
      <c r="AN11" s="203">
        <f>AE11+(AI11*AJ11)+((AF11*AF19)*AJ11)</f>
        <v>3</v>
      </c>
      <c r="AO11" s="199" t="str">
        <f>VLOOKUP(AN11,'Lookup Tables'!$A$38:$B$151,2,FALSE)</f>
        <v>Sept</v>
      </c>
      <c r="AP11" s="191">
        <f>VLOOKUP(AO11,'Lookup Tables'!$A$22:$B$33,2,FALSE)</f>
        <v>3</v>
      </c>
      <c r="AQ11" s="200">
        <f>VLOOKUP(AP11,'Lookup Tables'!$A$3:$AA$16,MATCH(PersonCalcYr3!AM11,'Lookup Tables'!$A$3:$AA$3),FALSE)</f>
        <v>0</v>
      </c>
      <c r="AR11" s="178">
        <v>9</v>
      </c>
      <c r="AS11" s="201">
        <f>AM11-AQ11</f>
        <v>0</v>
      </c>
      <c r="AT11" s="195">
        <f>IF(AR11&lt;=AS11,AR11,AS11)</f>
        <v>0</v>
      </c>
      <c r="AU11" s="195">
        <f>IF((AR11+AQ11)&lt;=0,0,1)</f>
        <v>1</v>
      </c>
      <c r="AV11" s="715">
        <f>((('Rate Tables'!E4*$E11)*PersonCalcYr3!AT11)*$F11)*AU11</f>
        <v>0</v>
      </c>
      <c r="AW11" s="215">
        <f>AM11-AQ11-AT11</f>
        <v>0</v>
      </c>
      <c r="AX11" s="197">
        <f>IF(AW11&lt;0,AW11*0,1)*AW11</f>
        <v>0</v>
      </c>
      <c r="AY11" s="203">
        <f>AP11+(AT11*AU11)+((AQ11*AQ19)*AU11)</f>
        <v>3</v>
      </c>
      <c r="AZ11" s="199" t="str">
        <f>VLOOKUP(AY11,'Lookup Tables'!$A$38:$B$151,2,FALSE)</f>
        <v>Sept</v>
      </c>
      <c r="BA11" s="191">
        <f>VLOOKUP(AZ11,'Lookup Tables'!$A$22:$B$33,2,FALSE)</f>
        <v>3</v>
      </c>
      <c r="BB11" s="200">
        <f>VLOOKUP(BA11,'Lookup Tables'!$A$3:$AA$16,MATCH(PersonCalcYr3!AX11,'Lookup Tables'!$A$3:$AA$3),FALSE)</f>
        <v>0</v>
      </c>
      <c r="BC11" s="178">
        <v>9</v>
      </c>
      <c r="BD11" s="201">
        <f>AX11-BB11</f>
        <v>0</v>
      </c>
      <c r="BE11" s="195">
        <f>IF(BC11&lt;=BD11,BC11,BD11)</f>
        <v>0</v>
      </c>
      <c r="BF11" s="195">
        <f>IF((BC11+BB11)&lt;=0,0,1)</f>
        <v>1</v>
      </c>
      <c r="BG11" s="715">
        <f>((('Rate Tables'!F4*$E11)*PersonCalcYr3!BE11)*$F11)*BF11</f>
        <v>0</v>
      </c>
      <c r="BH11" s="215">
        <f>AX11-BB11-BE11</f>
        <v>0</v>
      </c>
      <c r="BI11" s="197"/>
      <c r="BJ11" s="178"/>
      <c r="BK11" s="227"/>
      <c r="BL11" s="350"/>
      <c r="BM11" s="227"/>
      <c r="BN11" s="275"/>
      <c r="BO11" s="12"/>
    </row>
    <row r="12" spans="1:67" x14ac:dyDescent="0.25">
      <c r="A12" s="296"/>
      <c r="B12" s="116"/>
      <c r="C12" s="117" t="s">
        <v>597</v>
      </c>
      <c r="D12" s="178"/>
      <c r="E12" s="153" t="s">
        <v>16</v>
      </c>
      <c r="F12" s="153" t="s">
        <v>42</v>
      </c>
      <c r="G12" s="153" t="s">
        <v>41</v>
      </c>
      <c r="H12" s="183" t="s">
        <v>77</v>
      </c>
      <c r="I12" s="184" t="s">
        <v>90</v>
      </c>
      <c r="J12" s="185" t="s">
        <v>70</v>
      </c>
      <c r="K12" s="186" t="s">
        <v>577</v>
      </c>
      <c r="L12" s="153" t="s">
        <v>578</v>
      </c>
      <c r="M12" s="153" t="s">
        <v>82</v>
      </c>
      <c r="N12" s="153" t="s">
        <v>32</v>
      </c>
      <c r="O12" s="135" t="s">
        <v>69</v>
      </c>
      <c r="P12" s="153" t="s">
        <v>72</v>
      </c>
      <c r="Q12" s="183" t="s">
        <v>80</v>
      </c>
      <c r="R12" s="187" t="s">
        <v>81</v>
      </c>
      <c r="S12" s="183" t="s">
        <v>77</v>
      </c>
      <c r="T12" s="598" t="s">
        <v>83</v>
      </c>
      <c r="U12" s="185" t="s">
        <v>70</v>
      </c>
      <c r="V12" s="153" t="s">
        <v>92</v>
      </c>
      <c r="W12" s="153" t="s">
        <v>44</v>
      </c>
      <c r="X12" s="153" t="s">
        <v>78</v>
      </c>
      <c r="Y12" s="153" t="s">
        <v>68</v>
      </c>
      <c r="Z12" s="153" t="s">
        <v>33</v>
      </c>
      <c r="AA12" s="135" t="s">
        <v>69</v>
      </c>
      <c r="AB12" s="153" t="s">
        <v>72</v>
      </c>
      <c r="AC12" s="153" t="s">
        <v>80</v>
      </c>
      <c r="AD12" s="187" t="s">
        <v>81</v>
      </c>
      <c r="AE12" s="183" t="s">
        <v>77</v>
      </c>
      <c r="AF12" s="185" t="s">
        <v>70</v>
      </c>
      <c r="AG12" s="153" t="s">
        <v>94</v>
      </c>
      <c r="AH12" s="153" t="s">
        <v>45</v>
      </c>
      <c r="AI12" s="153" t="s">
        <v>79</v>
      </c>
      <c r="AJ12" s="153" t="s">
        <v>68</v>
      </c>
      <c r="AK12" s="153" t="s">
        <v>34</v>
      </c>
      <c r="AL12" s="135" t="s">
        <v>69</v>
      </c>
      <c r="AM12" s="153" t="s">
        <v>72</v>
      </c>
      <c r="AN12" s="153" t="s">
        <v>80</v>
      </c>
      <c r="AO12" s="187" t="s">
        <v>81</v>
      </c>
      <c r="AP12" s="183" t="s">
        <v>77</v>
      </c>
      <c r="AQ12" s="185" t="s">
        <v>70</v>
      </c>
      <c r="AR12" s="153" t="s">
        <v>94</v>
      </c>
      <c r="AS12" s="153" t="s">
        <v>45</v>
      </c>
      <c r="AT12" s="153" t="s">
        <v>79</v>
      </c>
      <c r="AU12" s="153" t="s">
        <v>68</v>
      </c>
      <c r="AV12" s="153" t="s">
        <v>34</v>
      </c>
      <c r="AW12" s="135" t="s">
        <v>69</v>
      </c>
      <c r="AX12" s="153" t="s">
        <v>72</v>
      </c>
      <c r="AY12" s="153" t="s">
        <v>80</v>
      </c>
      <c r="AZ12" s="187" t="s">
        <v>81</v>
      </c>
      <c r="BA12" s="183" t="s">
        <v>77</v>
      </c>
      <c r="BB12" s="185" t="s">
        <v>70</v>
      </c>
      <c r="BC12" s="153" t="s">
        <v>94</v>
      </c>
      <c r="BD12" s="153" t="s">
        <v>45</v>
      </c>
      <c r="BE12" s="153" t="s">
        <v>79</v>
      </c>
      <c r="BF12" s="153" t="s">
        <v>68</v>
      </c>
      <c r="BG12" s="153" t="s">
        <v>34</v>
      </c>
      <c r="BH12" s="135" t="s">
        <v>69</v>
      </c>
      <c r="BI12" s="153"/>
      <c r="BJ12" s="178"/>
      <c r="BK12" s="227"/>
      <c r="BL12" s="351"/>
      <c r="BM12" s="227"/>
      <c r="BN12" s="275"/>
      <c r="BO12" s="12"/>
    </row>
    <row r="13" spans="1:67" x14ac:dyDescent="0.25">
      <c r="A13" s="296"/>
      <c r="B13" s="116"/>
      <c r="C13" s="115"/>
      <c r="D13" s="178"/>
      <c r="E13" s="189">
        <f>BL$9</f>
        <v>0</v>
      </c>
      <c r="F13" s="190">
        <f>IF($D$4=2023,1,0)</f>
        <v>0</v>
      </c>
      <c r="G13" s="178">
        <f>IF($B19="Yes",$C$5,$I19)</f>
        <v>12</v>
      </c>
      <c r="H13" s="191">
        <f>VLOOKUP($H$18,'Lookup Tables'!$A$22:$B$33,2,FALSE)</f>
        <v>3</v>
      </c>
      <c r="I13" s="192">
        <f>VLOOKUP($E$4,'Lookup Tables'!$AB$46:$AN$58,MATCH($H13,'Lookup Tables'!$AB$46:$AN$46),FALSE)</f>
        <v>12</v>
      </c>
      <c r="J13" s="193">
        <f>VLOOKUP(H13,'Lookup Tables'!$A$3:$AA$16,MATCH(PersonCalcYr3!$G13,'Lookup Tables'!$A$3:$AA$3),FALSE)</f>
        <v>1.5161</v>
      </c>
      <c r="K13" s="194">
        <f>VLOOKUP(H18,'Lookup Tables'!$K$23:$L$34,2,FALSE)</f>
        <v>0</v>
      </c>
      <c r="L13" s="178">
        <f>IF(G13&lt;=K13,G13,K13)</f>
        <v>0</v>
      </c>
      <c r="M13" s="195">
        <f>IF(12-I13&gt;=1,1,0)</f>
        <v>0</v>
      </c>
      <c r="N13" s="196">
        <f>(('Rate Tables'!C4*PersonCalcYr3!E13)*PersonCalcYr3!L13)*PersonCalcYr3!F13*M13</f>
        <v>0</v>
      </c>
      <c r="O13" s="215">
        <f>G13-((J13+L13)*M13)</f>
        <v>12</v>
      </c>
      <c r="P13" s="197">
        <f>IF(O13&lt;0,O13*0,1)*O13</f>
        <v>12</v>
      </c>
      <c r="Q13" s="198">
        <f>H13+(L13*M13)+(J13*M13)</f>
        <v>3</v>
      </c>
      <c r="R13" s="199" t="str">
        <f>VLOOKUP(Q13,'Lookup Tables'!$A$38:$B$151,2,FALSE)</f>
        <v>Sept</v>
      </c>
      <c r="S13" s="191">
        <f>VLOOKUP(R13,'Lookup Tables'!$A$22:$B$33,2,FALSE)</f>
        <v>3</v>
      </c>
      <c r="T13" s="599">
        <f>VLOOKUP($E$4,'Lookup Tables'!$AB$63:$AN$75,MATCH(PersonCalcYr3!$S13,'Lookup Tables'!$AB$63:$AN$63),FALSE)</f>
        <v>0.5161</v>
      </c>
      <c r="U13" s="200">
        <f>VLOOKUP(S13,'Lookup Tables'!$A$3:$AA$16,MATCH(PersonCalcYr3!$P13,'Lookup Tables'!$A$3:$AA$3),FALSE)</f>
        <v>1.5161</v>
      </c>
      <c r="V13" s="496">
        <f>9-T13</f>
        <v>8.4839000000000002</v>
      </c>
      <c r="W13" s="201">
        <f>P13-U13</f>
        <v>10.4839</v>
      </c>
      <c r="X13" s="590">
        <f>IF(V13&lt;=W13,V13,W13)</f>
        <v>8.4839000000000002</v>
      </c>
      <c r="Y13" s="195">
        <f>IF(12-T13-U13-X13&gt;=0,1,0)</f>
        <v>1</v>
      </c>
      <c r="Z13" s="202">
        <f>((('Rate Tables'!D4*$E13)*PersonCalcYr3!$X13)*$F13)*Y13</f>
        <v>0</v>
      </c>
      <c r="AA13" s="215">
        <f>O13-(((U13*U19)+X13)*Y13)</f>
        <v>2</v>
      </c>
      <c r="AB13" s="197">
        <f>IF(AA13&lt;0,AA13*0,1)*AA13</f>
        <v>2</v>
      </c>
      <c r="AC13" s="601">
        <f>S13+(X13*Y13)+((U13*U19)*Y13)</f>
        <v>13</v>
      </c>
      <c r="AD13" s="199" t="str">
        <f>VLOOKUP(AC13,'Lookup Tables'!$A$38:$B$151,2,FALSE)</f>
        <v>July</v>
      </c>
      <c r="AE13" s="191">
        <f>VLOOKUP(AD13,'Lookup Tables'!$A$22:$B$33,2,FALSE)</f>
        <v>1</v>
      </c>
      <c r="AF13" s="200">
        <f>VLOOKUP(AE13,'Lookup Tables'!$A$3:$AA$16,MATCH(PersonCalcYr3!AB13,'Lookup Tables'!$A$3:$AA$3),FALSE)</f>
        <v>1.4839</v>
      </c>
      <c r="AG13" s="178">
        <v>9</v>
      </c>
      <c r="AH13" s="201">
        <f>AB13-AF13</f>
        <v>0.5161</v>
      </c>
      <c r="AI13" s="195">
        <f>IF(AG13&lt;=AH13,AG13,AH13)</f>
        <v>0.5161</v>
      </c>
      <c r="AJ13" s="195">
        <f>IF((AG13+AF13)&lt;=0,0,1)</f>
        <v>1</v>
      </c>
      <c r="AK13" s="204">
        <f>((('Rate Tables'!E4*$E13)*PersonCalcYr3!AI13)*$F13)*AJ13</f>
        <v>0</v>
      </c>
      <c r="AL13" s="215">
        <f>AB13-AF13-AI13</f>
        <v>0</v>
      </c>
      <c r="AM13" s="197">
        <f>IF(AL13&lt;0,AL13*0,1)*AL13</f>
        <v>0</v>
      </c>
      <c r="AN13" s="601">
        <f>AE13+(AI13*AJ13)+((AF13*AF19)*AJ13)</f>
        <v>3</v>
      </c>
      <c r="AO13" s="199" t="str">
        <f>VLOOKUP(AN13,'Lookup Tables'!$A$38:$B$151,2,FALSE)</f>
        <v>Sept</v>
      </c>
      <c r="AP13" s="191">
        <f>VLOOKUP(AO13,'Lookup Tables'!$A$22:$B$33,2,FALSE)</f>
        <v>3</v>
      </c>
      <c r="AQ13" s="200">
        <f>VLOOKUP(AP13,'Lookup Tables'!$A$3:$AA$16,MATCH(PersonCalcYr3!AM13,'Lookup Tables'!$A$3:$AA$3),FALSE)</f>
        <v>0</v>
      </c>
      <c r="AR13" s="178">
        <v>9</v>
      </c>
      <c r="AS13" s="201">
        <f>AM13-AQ13</f>
        <v>0</v>
      </c>
      <c r="AT13" s="195">
        <f>IF(AR13&lt;=AS13,AR13,AS13)</f>
        <v>0</v>
      </c>
      <c r="AU13" s="195">
        <f>IF((AR13+AQ13)&lt;=0,0,1)</f>
        <v>1</v>
      </c>
      <c r="AV13" s="204">
        <f>((('Rate Tables'!F4*$E13)*PersonCalcYr3!AT13)*$F13)*AU13</f>
        <v>0</v>
      </c>
      <c r="AW13" s="215">
        <f>AM13-AQ13-AT13</f>
        <v>0</v>
      </c>
      <c r="AX13" s="197">
        <f>IF(AW13&lt;0,AW13*0,1)*AW13</f>
        <v>0</v>
      </c>
      <c r="AY13" s="601">
        <f>AP13+(AT13*AU13)+((AQ13*AQ19)*AU13)</f>
        <v>3</v>
      </c>
      <c r="AZ13" s="199" t="str">
        <f>VLOOKUP(AY13,'Lookup Tables'!$A$38:$B$151,2,FALSE)</f>
        <v>Sept</v>
      </c>
      <c r="BA13" s="191">
        <f>VLOOKUP(AZ13,'Lookup Tables'!$A$22:$B$33,2,FALSE)</f>
        <v>3</v>
      </c>
      <c r="BB13" s="200">
        <f>VLOOKUP(BA13,'Lookup Tables'!$A$3:$AA$16,MATCH(PersonCalcYr3!AX13,'Lookup Tables'!$A$3:$AA$3),FALSE)</f>
        <v>0</v>
      </c>
      <c r="BC13" s="178">
        <v>9</v>
      </c>
      <c r="BD13" s="201">
        <f>AX13-BB13</f>
        <v>0</v>
      </c>
      <c r="BE13" s="195">
        <f>IF(BC13&lt;=BD13,BC13,BD13)</f>
        <v>0</v>
      </c>
      <c r="BF13" s="195">
        <f>IF((BC13+BB13)&lt;=0,0,1)</f>
        <v>1</v>
      </c>
      <c r="BG13" s="204">
        <f>((('Rate Tables'!G4*$E13)*PersonCalcYr3!BE13)*$F13)*BF13</f>
        <v>0</v>
      </c>
      <c r="BH13" s="215">
        <f>AX13-BB13-BE13</f>
        <v>0</v>
      </c>
      <c r="BI13" s="197"/>
      <c r="BJ13" s="178"/>
      <c r="BK13" s="227"/>
      <c r="BL13" s="349"/>
      <c r="BM13" s="227"/>
      <c r="BN13" s="275"/>
      <c r="BO13" s="12"/>
    </row>
    <row r="14" spans="1:67" x14ac:dyDescent="0.25">
      <c r="A14" s="296"/>
      <c r="B14" s="116"/>
      <c r="C14" s="117" t="s">
        <v>664</v>
      </c>
      <c r="D14" s="178"/>
      <c r="E14" s="153" t="s">
        <v>16</v>
      </c>
      <c r="F14" s="153" t="s">
        <v>42</v>
      </c>
      <c r="G14" s="153" t="s">
        <v>41</v>
      </c>
      <c r="H14" s="183" t="s">
        <v>77</v>
      </c>
      <c r="I14" s="184" t="s">
        <v>90</v>
      </c>
      <c r="J14" s="185" t="s">
        <v>70</v>
      </c>
      <c r="K14" s="186" t="s">
        <v>577</v>
      </c>
      <c r="L14" s="153" t="s">
        <v>578</v>
      </c>
      <c r="M14" s="153" t="s">
        <v>82</v>
      </c>
      <c r="N14" s="153" t="s">
        <v>33</v>
      </c>
      <c r="O14" s="135" t="s">
        <v>69</v>
      </c>
      <c r="P14" s="153" t="s">
        <v>72</v>
      </c>
      <c r="Q14" s="183" t="s">
        <v>80</v>
      </c>
      <c r="R14" s="187" t="s">
        <v>81</v>
      </c>
      <c r="S14" s="183" t="s">
        <v>77</v>
      </c>
      <c r="T14" s="598" t="s">
        <v>83</v>
      </c>
      <c r="U14" s="185" t="s">
        <v>70</v>
      </c>
      <c r="V14" s="153" t="s">
        <v>94</v>
      </c>
      <c r="W14" s="153" t="s">
        <v>45</v>
      </c>
      <c r="X14" s="153" t="s">
        <v>79</v>
      </c>
      <c r="Y14" s="153" t="s">
        <v>68</v>
      </c>
      <c r="Z14" s="153" t="s">
        <v>34</v>
      </c>
      <c r="AA14" s="135" t="s">
        <v>69</v>
      </c>
      <c r="AB14" s="153" t="s">
        <v>72</v>
      </c>
      <c r="AC14" s="153" t="s">
        <v>80</v>
      </c>
      <c r="AD14" s="187" t="s">
        <v>81</v>
      </c>
      <c r="AE14" s="183" t="s">
        <v>77</v>
      </c>
      <c r="AF14" s="185" t="s">
        <v>70</v>
      </c>
      <c r="AG14" s="153" t="s">
        <v>607</v>
      </c>
      <c r="AH14" s="153" t="s">
        <v>608</v>
      </c>
      <c r="AI14" s="153" t="s">
        <v>601</v>
      </c>
      <c r="AJ14" s="153" t="s">
        <v>68</v>
      </c>
      <c r="AK14" s="153" t="s">
        <v>602</v>
      </c>
      <c r="AL14" s="135" t="s">
        <v>69</v>
      </c>
      <c r="AM14" s="153" t="s">
        <v>72</v>
      </c>
      <c r="AN14" s="153" t="s">
        <v>80</v>
      </c>
      <c r="AO14" s="187" t="s">
        <v>81</v>
      </c>
      <c r="AP14" s="183" t="s">
        <v>77</v>
      </c>
      <c r="AQ14" s="185" t="s">
        <v>70</v>
      </c>
      <c r="AR14" s="153" t="s">
        <v>607</v>
      </c>
      <c r="AS14" s="153" t="s">
        <v>608</v>
      </c>
      <c r="AT14" s="153" t="s">
        <v>601</v>
      </c>
      <c r="AU14" s="153" t="s">
        <v>68</v>
      </c>
      <c r="AV14" s="153" t="s">
        <v>602</v>
      </c>
      <c r="AW14" s="135" t="s">
        <v>69</v>
      </c>
      <c r="AX14" s="153" t="s">
        <v>72</v>
      </c>
      <c r="AY14" s="153" t="s">
        <v>80</v>
      </c>
      <c r="AZ14" s="187" t="s">
        <v>81</v>
      </c>
      <c r="BA14" s="183" t="s">
        <v>77</v>
      </c>
      <c r="BB14" s="185" t="s">
        <v>70</v>
      </c>
      <c r="BC14" s="153" t="s">
        <v>607</v>
      </c>
      <c r="BD14" s="153" t="s">
        <v>608</v>
      </c>
      <c r="BE14" s="153" t="s">
        <v>601</v>
      </c>
      <c r="BF14" s="153" t="s">
        <v>68</v>
      </c>
      <c r="BG14" s="153" t="s">
        <v>602</v>
      </c>
      <c r="BH14" s="135" t="s">
        <v>69</v>
      </c>
      <c r="BI14" s="197"/>
      <c r="BJ14" s="178"/>
      <c r="BK14" s="227"/>
      <c r="BL14" s="349"/>
      <c r="BM14" s="227"/>
      <c r="BN14" s="275"/>
      <c r="BO14" s="12"/>
    </row>
    <row r="15" spans="1:67" x14ac:dyDescent="0.25">
      <c r="A15" s="296"/>
      <c r="B15" s="116"/>
      <c r="C15" s="115"/>
      <c r="D15" s="178"/>
      <c r="E15" s="189">
        <f>BL$9</f>
        <v>0</v>
      </c>
      <c r="F15" s="190">
        <f>IF($D$4=2024,1,0)</f>
        <v>1</v>
      </c>
      <c r="G15" s="178">
        <f>IF($B19="Yes",$C$5,$I19)</f>
        <v>12</v>
      </c>
      <c r="H15" s="191">
        <f>VLOOKUP($H$18,'Lookup Tables'!$A$22:$B$33,2,FALSE)</f>
        <v>3</v>
      </c>
      <c r="I15" s="192">
        <f>VLOOKUP($E$4,'Lookup Tables'!$AB$46:$AN$58,MATCH($H15,'Lookup Tables'!$AB$46:$AN$46),FALSE)</f>
        <v>12</v>
      </c>
      <c r="J15" s="193">
        <f>VLOOKUP(H15,'Lookup Tables'!$A$3:$AA$16,MATCH(PersonCalcYr3!$G15,'Lookup Tables'!$A$3:$AA$3),FALSE)</f>
        <v>1.5161</v>
      </c>
      <c r="K15" s="194">
        <f>VLOOKUP(H18,'Lookup Tables'!$K$23:$L$34,2,FALSE)</f>
        <v>0</v>
      </c>
      <c r="L15" s="178">
        <f>IF(G15&lt;=K15,G15,K15)</f>
        <v>0</v>
      </c>
      <c r="M15" s="195">
        <f>IF(12-I15&gt;=1,1,0)</f>
        <v>0</v>
      </c>
      <c r="N15" s="196">
        <f>(('Rate Tables'!D4*PersonCalcYr3!E15)*PersonCalcYr3!L15)*PersonCalcYr3!F15*M15</f>
        <v>0</v>
      </c>
      <c r="O15" s="215">
        <f>G15-((J15+L15)*M15)</f>
        <v>12</v>
      </c>
      <c r="P15" s="197">
        <f>IF(O15&lt;0,O15*0,1)*O15</f>
        <v>12</v>
      </c>
      <c r="Q15" s="198">
        <f>H15+(L15*M15)+(J15*M15)</f>
        <v>3</v>
      </c>
      <c r="R15" s="199" t="str">
        <f>VLOOKUP(Q15,'Lookup Tables'!$A$38:$B$151,2,FALSE)</f>
        <v>Sept</v>
      </c>
      <c r="S15" s="191">
        <f>VLOOKUP(R15,'Lookup Tables'!$A$22:$B$33,2,FALSE)</f>
        <v>3</v>
      </c>
      <c r="T15" s="599">
        <f>VLOOKUP($E$4,'Lookup Tables'!$AB$63:$AN$75,MATCH(PersonCalcYr3!$S15,'Lookup Tables'!$AB$63:$AN$63),FALSE)</f>
        <v>0.5161</v>
      </c>
      <c r="U15" s="200">
        <f>VLOOKUP(S15,'Lookup Tables'!$A$3:$AA$16,MATCH(PersonCalcYr3!$P15,'Lookup Tables'!$A$3:$AA$3),FALSE)</f>
        <v>1.5161</v>
      </c>
      <c r="V15" s="496">
        <f>9-T15</f>
        <v>8.4839000000000002</v>
      </c>
      <c r="W15" s="201">
        <f>P15-U15</f>
        <v>10.4839</v>
      </c>
      <c r="X15" s="590">
        <f>IF(V15&lt;=W15,V15,W15)</f>
        <v>8.4839000000000002</v>
      </c>
      <c r="Y15" s="195">
        <f>IF(12-T15-U15-X15&gt;=0,1,0)</f>
        <v>1</v>
      </c>
      <c r="Z15" s="202">
        <f>((('Rate Tables'!E4*$E15)*PersonCalcYr3!$X15)*$F15)*Y15</f>
        <v>0</v>
      </c>
      <c r="AA15" s="215">
        <f>O15-(((U15*U19)+X15)*Y15)</f>
        <v>2</v>
      </c>
      <c r="AB15" s="197">
        <f>IF(AA15&lt;0,AA15*0,1)*AA15</f>
        <v>2</v>
      </c>
      <c r="AC15" s="601">
        <f>S15+(X15*Y15)+((U15*U19)*Y15)</f>
        <v>13</v>
      </c>
      <c r="AD15" s="199" t="str">
        <f>VLOOKUP(AC15,'Lookup Tables'!$A$38:$B$151,2,FALSE)</f>
        <v>July</v>
      </c>
      <c r="AE15" s="191">
        <f>VLOOKUP(AD15,'Lookup Tables'!$A$22:$B$33,2,FALSE)</f>
        <v>1</v>
      </c>
      <c r="AF15" s="200">
        <f>VLOOKUP(AE15,'Lookup Tables'!$A$3:$AA$16,MATCH(PersonCalcYr3!AB15,'Lookup Tables'!$A$3:$AA$3),FALSE)</f>
        <v>1.4839</v>
      </c>
      <c r="AG15" s="178">
        <v>9</v>
      </c>
      <c r="AH15" s="201">
        <f>AB15-AF15</f>
        <v>0.5161</v>
      </c>
      <c r="AI15" s="195">
        <f>IF(AG15&lt;=AH15,AG15,AH15)</f>
        <v>0.5161</v>
      </c>
      <c r="AJ15" s="195">
        <f>IF((AG15+AF15)&lt;=0,0,1)</f>
        <v>1</v>
      </c>
      <c r="AK15" s="204">
        <f>((('Rate Tables'!F4*$E15)*PersonCalcYr3!AI15)*$F15)*AJ15</f>
        <v>0</v>
      </c>
      <c r="AL15" s="215">
        <f>AB15-AF15-AI15</f>
        <v>0</v>
      </c>
      <c r="AM15" s="197">
        <f>IF(AL15&lt;0,AL15*0,1)*AL15</f>
        <v>0</v>
      </c>
      <c r="AN15" s="203">
        <f>AE15+(AI15*AJ15)+((AF15*AF19)*AJ15)</f>
        <v>3</v>
      </c>
      <c r="AO15" s="199" t="str">
        <f>VLOOKUP(AN15,'Lookup Tables'!$A$38:$B$151,2,FALSE)</f>
        <v>Sept</v>
      </c>
      <c r="AP15" s="191">
        <f>VLOOKUP(AO15,'Lookup Tables'!$A$22:$B$33,2,FALSE)</f>
        <v>3</v>
      </c>
      <c r="AQ15" s="200">
        <f>VLOOKUP(AP15,'Lookup Tables'!$A$3:$AA$16,MATCH(PersonCalcYr3!AM15,'Lookup Tables'!$A$3:$AA$3),FALSE)</f>
        <v>0</v>
      </c>
      <c r="AR15" s="178">
        <v>9</v>
      </c>
      <c r="AS15" s="201">
        <f>AM15-AQ15</f>
        <v>0</v>
      </c>
      <c r="AT15" s="195">
        <f>IF(AR15&lt;=AS15,AR15,AS15)</f>
        <v>0</v>
      </c>
      <c r="AU15" s="195">
        <f>IF((AR15+AQ15)&lt;=0,0,1)</f>
        <v>1</v>
      </c>
      <c r="AV15" s="204">
        <f>((('Rate Tables'!G4*$E15)*PersonCalcYr3!AT15)*$F15)*AU15</f>
        <v>0</v>
      </c>
      <c r="AW15" s="215">
        <f>AM15-AQ15-AT15</f>
        <v>0</v>
      </c>
      <c r="AX15" s="197">
        <f>IF(AW15&lt;0,AW15*0,1)*AW15</f>
        <v>0</v>
      </c>
      <c r="AY15" s="203">
        <f>AP15+(AT15*AU15)+((AQ15*AQ19)*AU15)</f>
        <v>3</v>
      </c>
      <c r="AZ15" s="199" t="str">
        <f>VLOOKUP(AY15,'Lookup Tables'!$A$38:$B$151,2,FALSE)</f>
        <v>Sept</v>
      </c>
      <c r="BA15" s="191">
        <f>VLOOKUP(AZ15,'Lookup Tables'!$A$22:$B$33,2,FALSE)</f>
        <v>3</v>
      </c>
      <c r="BB15" s="200">
        <f>VLOOKUP(BA15,'Lookup Tables'!$A$3:$AA$16,MATCH(PersonCalcYr3!AX15,'Lookup Tables'!$A$3:$AA$3),FALSE)</f>
        <v>0</v>
      </c>
      <c r="BC15" s="178">
        <v>9</v>
      </c>
      <c r="BD15" s="201">
        <f>AX15-BB15</f>
        <v>0</v>
      </c>
      <c r="BE15" s="195">
        <f>IF(BC15&lt;=BD15,BC15,BD15)</f>
        <v>0</v>
      </c>
      <c r="BF15" s="195">
        <f>IF((BC15+BB15)&lt;=0,0,1)</f>
        <v>1</v>
      </c>
      <c r="BG15" s="204">
        <f>((('Rate Tables'!H4*$E15)*PersonCalcYr3!BE15)*$F15)*BF15</f>
        <v>0</v>
      </c>
      <c r="BH15" s="215">
        <f>AX15-BB15-BE15</f>
        <v>0</v>
      </c>
      <c r="BI15" s="197"/>
      <c r="BJ15" s="178"/>
      <c r="BK15" s="227"/>
      <c r="BL15" s="349"/>
      <c r="BM15" s="227"/>
      <c r="BN15" s="275"/>
      <c r="BO15" s="12"/>
    </row>
    <row r="16" spans="1:67" x14ac:dyDescent="0.25">
      <c r="A16" s="296"/>
      <c r="B16" s="116"/>
      <c r="C16" s="819" t="s">
        <v>732</v>
      </c>
      <c r="D16" s="178"/>
      <c r="E16" s="153" t="s">
        <v>16</v>
      </c>
      <c r="F16" s="153" t="s">
        <v>42</v>
      </c>
      <c r="G16" s="153" t="s">
        <v>41</v>
      </c>
      <c r="H16" s="183" t="s">
        <v>77</v>
      </c>
      <c r="I16" s="184" t="s">
        <v>90</v>
      </c>
      <c r="J16" s="185" t="s">
        <v>70</v>
      </c>
      <c r="K16" s="186" t="s">
        <v>577</v>
      </c>
      <c r="L16" s="153" t="s">
        <v>578</v>
      </c>
      <c r="M16" s="153" t="s">
        <v>82</v>
      </c>
      <c r="N16" s="153" t="s">
        <v>33</v>
      </c>
      <c r="O16" s="135" t="s">
        <v>69</v>
      </c>
      <c r="P16" s="153" t="s">
        <v>72</v>
      </c>
      <c r="Q16" s="183" t="s">
        <v>80</v>
      </c>
      <c r="R16" s="187" t="s">
        <v>81</v>
      </c>
      <c r="S16" s="183" t="s">
        <v>77</v>
      </c>
      <c r="T16" s="598" t="s">
        <v>83</v>
      </c>
      <c r="U16" s="185" t="s">
        <v>70</v>
      </c>
      <c r="V16" s="153" t="s">
        <v>94</v>
      </c>
      <c r="W16" s="153" t="s">
        <v>45</v>
      </c>
      <c r="X16" s="153" t="s">
        <v>79</v>
      </c>
      <c r="Y16" s="153" t="s">
        <v>68</v>
      </c>
      <c r="Z16" s="153" t="s">
        <v>34</v>
      </c>
      <c r="AA16" s="135" t="s">
        <v>69</v>
      </c>
      <c r="AB16" s="153" t="s">
        <v>72</v>
      </c>
      <c r="AC16" s="153" t="s">
        <v>80</v>
      </c>
      <c r="AD16" s="187" t="s">
        <v>81</v>
      </c>
      <c r="AE16" s="183" t="s">
        <v>77</v>
      </c>
      <c r="AF16" s="185" t="s">
        <v>70</v>
      </c>
      <c r="AG16" s="153" t="s">
        <v>607</v>
      </c>
      <c r="AH16" s="153" t="s">
        <v>608</v>
      </c>
      <c r="AI16" s="153" t="s">
        <v>601</v>
      </c>
      <c r="AJ16" s="153" t="s">
        <v>68</v>
      </c>
      <c r="AK16" s="153" t="s">
        <v>602</v>
      </c>
      <c r="AL16" s="135" t="s">
        <v>69</v>
      </c>
      <c r="AM16" s="153" t="s">
        <v>72</v>
      </c>
      <c r="AN16" s="153" t="s">
        <v>80</v>
      </c>
      <c r="AO16" s="187" t="s">
        <v>81</v>
      </c>
      <c r="AP16" s="183" t="s">
        <v>77</v>
      </c>
      <c r="AQ16" s="185" t="s">
        <v>70</v>
      </c>
      <c r="AR16" s="153" t="s">
        <v>607</v>
      </c>
      <c r="AS16" s="153" t="s">
        <v>608</v>
      </c>
      <c r="AT16" s="153" t="s">
        <v>601</v>
      </c>
      <c r="AU16" s="153" t="s">
        <v>68</v>
      </c>
      <c r="AV16" s="153" t="s">
        <v>602</v>
      </c>
      <c r="AW16" s="135" t="s">
        <v>69</v>
      </c>
      <c r="AX16" s="153" t="s">
        <v>72</v>
      </c>
      <c r="AY16" s="153" t="s">
        <v>80</v>
      </c>
      <c r="AZ16" s="187" t="s">
        <v>81</v>
      </c>
      <c r="BA16" s="183" t="s">
        <v>77</v>
      </c>
      <c r="BB16" s="185" t="s">
        <v>70</v>
      </c>
      <c r="BC16" s="153" t="s">
        <v>607</v>
      </c>
      <c r="BD16" s="153" t="s">
        <v>608</v>
      </c>
      <c r="BE16" s="153" t="s">
        <v>601</v>
      </c>
      <c r="BF16" s="153" t="s">
        <v>68</v>
      </c>
      <c r="BG16" s="153" t="s">
        <v>602</v>
      </c>
      <c r="BH16" s="135" t="s">
        <v>69</v>
      </c>
      <c r="BI16" s="197"/>
      <c r="BJ16" s="178"/>
      <c r="BK16" s="227"/>
      <c r="BL16" s="349"/>
      <c r="BM16" s="227"/>
      <c r="BN16" s="275"/>
      <c r="BO16" s="12"/>
    </row>
    <row r="17" spans="1:67" x14ac:dyDescent="0.25">
      <c r="A17" s="296"/>
      <c r="B17" s="116"/>
      <c r="C17" s="115"/>
      <c r="D17" s="178"/>
      <c r="E17" s="189">
        <f>BL$9</f>
        <v>0</v>
      </c>
      <c r="F17" s="190">
        <f>IF($D$4=2025,1,0)</f>
        <v>0</v>
      </c>
      <c r="G17" s="178">
        <f>IF($B19="Yes",$C$5,$I19)</f>
        <v>12</v>
      </c>
      <c r="H17" s="191">
        <f>VLOOKUP($H$18,'Lookup Tables'!$A$22:$B$33,2,FALSE)</f>
        <v>3</v>
      </c>
      <c r="I17" s="192">
        <f>VLOOKUP($E$4,'Lookup Tables'!$AB$46:$AN$58,MATCH($H17,'Lookup Tables'!$AB$46:$AN$46),FALSE)</f>
        <v>12</v>
      </c>
      <c r="J17" s="193">
        <f>VLOOKUP(H17,'Lookup Tables'!$A$3:$AA$16,MATCH(PersonCalcYr3!$G17,'Lookup Tables'!$A$3:$AA$3),FALSE)</f>
        <v>1.5161</v>
      </c>
      <c r="K17" s="194">
        <f>VLOOKUP(H18,'Lookup Tables'!$K$23:$L$34,2,FALSE)</f>
        <v>0</v>
      </c>
      <c r="L17" s="178">
        <f>IF(G17&lt;=K17,G17,K17)</f>
        <v>0</v>
      </c>
      <c r="M17" s="195">
        <f>IF(12-I17&gt;=1,1,0)</f>
        <v>0</v>
      </c>
      <c r="N17" s="196">
        <f>(('Rate Tables'!E4*PersonCalcYr3!E17)*PersonCalcYr3!L17)*PersonCalcYr3!F17*M17</f>
        <v>0</v>
      </c>
      <c r="O17" s="215">
        <f>G17-((J17+L17)*M17)</f>
        <v>12</v>
      </c>
      <c r="P17" s="197">
        <f>IF(O17&lt;0,O17*0,1)*O17</f>
        <v>12</v>
      </c>
      <c r="Q17" s="198">
        <f>H17+(L17*M17)+(J17*M17)</f>
        <v>3</v>
      </c>
      <c r="R17" s="199" t="str">
        <f>VLOOKUP(Q17,'Lookup Tables'!$A$38:$B$151,2,FALSE)</f>
        <v>Sept</v>
      </c>
      <c r="S17" s="191">
        <f>VLOOKUP(R17,'Lookup Tables'!$A$22:$B$33,2,FALSE)</f>
        <v>3</v>
      </c>
      <c r="T17" s="599">
        <f>VLOOKUP($E$4,'Lookup Tables'!$AB$63:$AN$75,MATCH(PersonCalcYr3!$S17,'Lookup Tables'!$AB$63:$AN$63),FALSE)</f>
        <v>0.5161</v>
      </c>
      <c r="U17" s="200">
        <f>VLOOKUP(S17,'Lookup Tables'!$A$3:$AA$16,MATCH(PersonCalcYr3!$P17,'Lookup Tables'!$A$3:$AA$3),FALSE)</f>
        <v>1.5161</v>
      </c>
      <c r="V17" s="496">
        <f>9-T17</f>
        <v>8.4839000000000002</v>
      </c>
      <c r="W17" s="201">
        <f>P17-U17</f>
        <v>10.4839</v>
      </c>
      <c r="X17" s="590">
        <f>IF(V17&lt;=W17,V17,W17)</f>
        <v>8.4839000000000002</v>
      </c>
      <c r="Y17" s="195">
        <f>IF(12-T17-U17-X17&gt;=0,1,0)</f>
        <v>1</v>
      </c>
      <c r="Z17" s="202">
        <f>((('Rate Tables'!F4*$E17)*PersonCalcYr3!$X17)*$F17)*Y17</f>
        <v>0</v>
      </c>
      <c r="AA17" s="215">
        <f>O17-(((U17*U19)+X17)*Y17)</f>
        <v>2</v>
      </c>
      <c r="AB17" s="197">
        <f>IF(AA17&lt;0,AA17*0,1)*AA17</f>
        <v>2</v>
      </c>
      <c r="AC17" s="601">
        <f>S17+(X17*Y17)+((U17*U19)*Y17)</f>
        <v>13</v>
      </c>
      <c r="AD17" s="199" t="str">
        <f>VLOOKUP(AC17,'Lookup Tables'!$A$38:$B$151,2,FALSE)</f>
        <v>July</v>
      </c>
      <c r="AE17" s="191">
        <f>VLOOKUP(AD17,'Lookup Tables'!$A$22:$B$33,2,FALSE)</f>
        <v>1</v>
      </c>
      <c r="AF17" s="200">
        <f>VLOOKUP(AE17,'Lookup Tables'!$A$3:$AA$16,MATCH(PersonCalcYr3!AB17,'Lookup Tables'!$A$3:$AA$3),FALSE)</f>
        <v>1.4839</v>
      </c>
      <c r="AG17" s="178">
        <v>9</v>
      </c>
      <c r="AH17" s="201">
        <f>AB17-AF17</f>
        <v>0.5161</v>
      </c>
      <c r="AI17" s="195">
        <f>IF(AG17&lt;=AH17,AG17,AH17)</f>
        <v>0.5161</v>
      </c>
      <c r="AJ17" s="195">
        <f>IF((AG17+AF17)&lt;=0,0,1)</f>
        <v>1</v>
      </c>
      <c r="AK17" s="204">
        <f>((('Rate Tables'!G4*$E17)*PersonCalcYr3!AI17)*$F17)*AJ17</f>
        <v>0</v>
      </c>
      <c r="AL17" s="215">
        <f>AB17-AF17-AI17</f>
        <v>0</v>
      </c>
      <c r="AM17" s="197">
        <f>IF(AL17&lt;0,AL17*0,1)*AL17</f>
        <v>0</v>
      </c>
      <c r="AN17" s="203">
        <f>AE17+(AI17*AJ17)+((AF17*AF19)*AJ17)</f>
        <v>3</v>
      </c>
      <c r="AO17" s="199" t="str">
        <f>VLOOKUP(AN17,'Lookup Tables'!$A$38:$B$151,2,FALSE)</f>
        <v>Sept</v>
      </c>
      <c r="AP17" s="191">
        <f>VLOOKUP(AO17,'Lookup Tables'!$A$22:$B$33,2,FALSE)</f>
        <v>3</v>
      </c>
      <c r="AQ17" s="200">
        <f>VLOOKUP(AP17,'Lookup Tables'!$A$3:$AA$16,MATCH(PersonCalcYr3!AM17,'Lookup Tables'!$A$3:$AA$3),FALSE)</f>
        <v>0</v>
      </c>
      <c r="AR17" s="178">
        <v>9</v>
      </c>
      <c r="AS17" s="201">
        <f>AM17-AQ17</f>
        <v>0</v>
      </c>
      <c r="AT17" s="195">
        <f>IF(AR17&lt;=AS17,AR17,AS17)</f>
        <v>0</v>
      </c>
      <c r="AU17" s="195">
        <f>IF((AR17+AQ17)&lt;=0,0,1)</f>
        <v>1</v>
      </c>
      <c r="AV17" s="204">
        <f>((('Rate Tables'!H4*$E17)*PersonCalcYr3!AT17)*$F17)*AU17</f>
        <v>0</v>
      </c>
      <c r="AW17" s="215">
        <f>AM17-AQ17-AT17</f>
        <v>0</v>
      </c>
      <c r="AX17" s="197">
        <f>IF(AW17&lt;0,AW17*0,1)*AW17</f>
        <v>0</v>
      </c>
      <c r="AY17" s="203">
        <f>AP17+(AT17*AU17)+((AQ17*AQ19)*AU17)</f>
        <v>3</v>
      </c>
      <c r="AZ17" s="199" t="str">
        <f>VLOOKUP(AY17,'Lookup Tables'!$A$38:$B$151,2,FALSE)</f>
        <v>Sept</v>
      </c>
      <c r="BA17" s="191">
        <f>VLOOKUP(AZ17,'Lookup Tables'!$A$22:$B$33,2,FALSE)</f>
        <v>3</v>
      </c>
      <c r="BB17" s="200">
        <f>VLOOKUP(BA17,'Lookup Tables'!$A$3:$AA$16,MATCH(PersonCalcYr3!AX17,'Lookup Tables'!$A$3:$AA$3),FALSE)</f>
        <v>0</v>
      </c>
      <c r="BC17" s="178">
        <v>9</v>
      </c>
      <c r="BD17" s="201">
        <f>AX17-BB17</f>
        <v>0</v>
      </c>
      <c r="BE17" s="195">
        <f>IF(BC17&lt;=BD17,BC17,BD17)</f>
        <v>0</v>
      </c>
      <c r="BF17" s="195">
        <f>IF((BC17+BB17)&lt;=0,0,1)</f>
        <v>1</v>
      </c>
      <c r="BG17" s="204">
        <f>((('Rate Tables'!I4*$E17)*PersonCalcYr3!BE17)*$F17)*BF17</f>
        <v>0</v>
      </c>
      <c r="BH17" s="215">
        <f>AX17-BB17-BE17</f>
        <v>0</v>
      </c>
      <c r="BI17" s="197"/>
      <c r="BJ17" s="178"/>
      <c r="BK17" s="227"/>
      <c r="BL17" s="349"/>
      <c r="BM17" s="227"/>
      <c r="BN17" s="275"/>
      <c r="BO17" s="12"/>
    </row>
    <row r="18" spans="1:67" x14ac:dyDescent="0.25">
      <c r="A18" s="296"/>
      <c r="B18" s="116"/>
      <c r="C18" s="115"/>
      <c r="D18" s="178"/>
      <c r="E18" s="205"/>
      <c r="F18" s="190"/>
      <c r="G18" s="178" t="s">
        <v>430</v>
      </c>
      <c r="H18" s="178" t="str">
        <f>IF(B19="yes",$C$4,A30)</f>
        <v>Sept</v>
      </c>
      <c r="I18" s="178"/>
      <c r="J18" s="178"/>
      <c r="K18" s="178"/>
      <c r="L18" s="178"/>
      <c r="M18" s="206"/>
      <c r="N18" s="207"/>
      <c r="O18" s="216"/>
      <c r="P18" s="190"/>
      <c r="Q18" s="190"/>
      <c r="R18" s="190"/>
      <c r="S18" s="190"/>
      <c r="T18" s="190"/>
      <c r="U18" s="178"/>
      <c r="V18" s="201"/>
      <c r="W18" s="201"/>
      <c r="X18" s="178"/>
      <c r="Y18" s="206"/>
      <c r="Z18" s="207"/>
      <c r="AA18" s="216"/>
      <c r="AB18" s="202"/>
      <c r="AC18" s="202"/>
      <c r="AD18" s="202"/>
      <c r="AE18" s="202"/>
      <c r="AF18" s="203"/>
      <c r="AG18" s="201"/>
      <c r="AH18" s="201"/>
      <c r="AI18" s="178"/>
      <c r="AJ18" s="206"/>
      <c r="AK18" s="207"/>
      <c r="AL18" s="216"/>
      <c r="AM18" s="202"/>
      <c r="AN18" s="202"/>
      <c r="AO18" s="202"/>
      <c r="AP18" s="202"/>
      <c r="AQ18" s="203"/>
      <c r="AR18" s="201"/>
      <c r="AS18" s="201"/>
      <c r="AT18" s="178"/>
      <c r="AU18" s="206"/>
      <c r="AV18" s="207"/>
      <c r="AW18" s="216"/>
      <c r="AX18" s="208"/>
      <c r="AY18" s="208"/>
      <c r="AZ18" s="208"/>
      <c r="BA18" s="208"/>
      <c r="BB18" s="208"/>
      <c r="BC18" s="208"/>
      <c r="BD18" s="208"/>
      <c r="BE18" s="208"/>
      <c r="BF18" s="208"/>
      <c r="BG18" s="208"/>
      <c r="BH18" s="202"/>
      <c r="BI18" s="202"/>
      <c r="BJ18" s="178"/>
      <c r="BK18" s="307" t="s">
        <v>450</v>
      </c>
      <c r="BL18" s="349">
        <f>IF(B9=0,0,1)</f>
        <v>1</v>
      </c>
      <c r="BM18" s="227"/>
      <c r="BN18" s="275"/>
      <c r="BO18" s="12"/>
    </row>
    <row r="19" spans="1:67" x14ac:dyDescent="0.25">
      <c r="A19" s="37" t="s">
        <v>431</v>
      </c>
      <c r="B19" s="375" t="str">
        <f>Personnel!U9</f>
        <v>YES</v>
      </c>
      <c r="C19" s="115"/>
      <c r="D19" s="178"/>
      <c r="E19" s="205"/>
      <c r="F19" s="190"/>
      <c r="G19" s="749" t="s">
        <v>665</v>
      </c>
      <c r="H19" s="11">
        <f>IF(H20&lt;$C$5,H20,$C$5)</f>
        <v>12</v>
      </c>
      <c r="I19" s="178">
        <f>IF(B30&lt;=H20,B30,H20)</f>
        <v>0</v>
      </c>
      <c r="J19" s="178"/>
      <c r="K19" s="178"/>
      <c r="L19" s="178"/>
      <c r="M19" s="178"/>
      <c r="N19" s="178"/>
      <c r="O19" s="217"/>
      <c r="P19" s="190"/>
      <c r="Q19" s="190"/>
      <c r="R19" s="190"/>
      <c r="S19" s="190"/>
      <c r="T19" s="605" t="s">
        <v>573</v>
      </c>
      <c r="U19" s="714">
        <f>VLOOKUP($E$4,'Lookup Tables'!$L$79:$X$91,MATCH(PersonCalcYr3!$S11,'Lookup Tables'!$L$79:$X$79),FALSE)</f>
        <v>1</v>
      </c>
      <c r="V19" s="201"/>
      <c r="W19" s="201"/>
      <c r="X19" s="201"/>
      <c r="Y19" s="195"/>
      <c r="Z19" s="195"/>
      <c r="AA19" s="695"/>
      <c r="AB19" s="202"/>
      <c r="AC19" s="202"/>
      <c r="AD19" s="202"/>
      <c r="AE19" s="605" t="s">
        <v>573</v>
      </c>
      <c r="AF19" s="714">
        <v>1</v>
      </c>
      <c r="AG19" s="201"/>
      <c r="AH19" s="201"/>
      <c r="AI19" s="201"/>
      <c r="AJ19" s="201"/>
      <c r="AK19" s="202"/>
      <c r="AL19" s="695"/>
      <c r="AM19" s="202"/>
      <c r="AN19" s="202"/>
      <c r="AO19" s="202"/>
      <c r="AP19" s="605" t="s">
        <v>573</v>
      </c>
      <c r="AQ19" s="714">
        <v>1</v>
      </c>
      <c r="AR19" s="201"/>
      <c r="AS19" s="201"/>
      <c r="AT19" s="201"/>
      <c r="AU19" s="201"/>
      <c r="AV19" s="202"/>
      <c r="AW19" s="695"/>
      <c r="AX19" s="202"/>
      <c r="AY19" s="202"/>
      <c r="AZ19" s="202"/>
      <c r="BA19" s="202"/>
      <c r="BB19" s="202"/>
      <c r="BC19" s="202"/>
      <c r="BD19" s="202"/>
      <c r="BE19" s="202"/>
      <c r="BF19" s="202"/>
      <c r="BG19" s="202"/>
      <c r="BH19" s="202"/>
      <c r="BI19" s="202"/>
      <c r="BJ19" s="178"/>
      <c r="BK19" s="748" t="s">
        <v>411</v>
      </c>
      <c r="BL19" s="460">
        <f>Personnel!W10</f>
        <v>10</v>
      </c>
      <c r="BM19" s="276" t="s">
        <v>117</v>
      </c>
      <c r="BN19" s="277">
        <f>(N22+W22+AJ22+AU22+BF22+N24+W24+AJ24+AU24++BF24+N26+W26+AJ26+AU26+BF26+N28+W28+AJ28+AU28+BF28)*BL18</f>
        <v>0</v>
      </c>
      <c r="BO19" s="224"/>
    </row>
    <row r="20" spans="1:67" x14ac:dyDescent="0.25">
      <c r="A20" s="296" t="s">
        <v>439</v>
      </c>
      <c r="B20" s="114" t="s">
        <v>427</v>
      </c>
      <c r="C20" s="114"/>
      <c r="D20" s="178"/>
      <c r="E20" s="178"/>
      <c r="F20" s="178"/>
      <c r="G20" s="818" t="s">
        <v>555</v>
      </c>
      <c r="H20" s="175">
        <f>VLOOKUP($E$4,'Lookup Tables'!$L$46:$AA$58,MATCH($H$11,'Lookup Tables'!$L$46:$X$46),FALSE)</f>
        <v>12</v>
      </c>
      <c r="I20" s="178"/>
      <c r="J20" s="178"/>
      <c r="K20" s="178"/>
      <c r="L20" s="178"/>
      <c r="M20" s="178"/>
      <c r="N20" s="178"/>
      <c r="O20" s="217"/>
      <c r="P20" s="178"/>
      <c r="Q20" s="178"/>
      <c r="R20" s="178"/>
      <c r="S20" s="178"/>
      <c r="T20" s="178"/>
      <c r="U20" s="178"/>
      <c r="V20" s="178"/>
      <c r="W20" s="178"/>
      <c r="X20" s="178"/>
      <c r="Y20" s="178"/>
      <c r="Z20" s="178"/>
      <c r="AA20" s="217"/>
      <c r="AB20" s="178"/>
      <c r="AC20" s="178"/>
      <c r="AD20" s="178"/>
      <c r="AE20" s="178"/>
      <c r="AF20" s="178"/>
      <c r="AG20" s="178"/>
      <c r="AH20" s="178"/>
      <c r="AI20" s="178"/>
      <c r="AJ20" s="178"/>
      <c r="AK20" s="178"/>
      <c r="AL20" s="217"/>
      <c r="AM20" s="178"/>
      <c r="AN20" s="178"/>
      <c r="AO20" s="178"/>
      <c r="AP20" s="178"/>
      <c r="AQ20" s="178"/>
      <c r="AR20" s="178"/>
      <c r="AS20" s="178"/>
      <c r="AT20" s="178"/>
      <c r="AU20" s="178"/>
      <c r="AV20" s="178"/>
      <c r="AW20" s="217"/>
      <c r="AX20" s="178"/>
      <c r="AY20" s="178"/>
      <c r="AZ20" s="178"/>
      <c r="BA20" s="178"/>
      <c r="BB20" s="178"/>
      <c r="BC20" s="178"/>
      <c r="BD20" s="178"/>
      <c r="BE20" s="178"/>
      <c r="BF20" s="178"/>
      <c r="BG20" s="178"/>
      <c r="BH20" s="178"/>
      <c r="BI20" s="178"/>
      <c r="BJ20" s="178"/>
      <c r="BK20" s="227"/>
      <c r="BL20" s="12"/>
      <c r="BM20" s="278" t="s">
        <v>96</v>
      </c>
      <c r="BN20" s="279">
        <f>BN9+BN19</f>
        <v>0</v>
      </c>
      <c r="BO20" s="369"/>
    </row>
    <row r="21" spans="1:67" x14ac:dyDescent="0.25">
      <c r="A21" s="296"/>
      <c r="B21" s="116"/>
      <c r="C21" s="117" t="s">
        <v>30</v>
      </c>
      <c r="D21" s="178"/>
      <c r="E21" s="153" t="s">
        <v>84</v>
      </c>
      <c r="F21" s="153" t="s">
        <v>42</v>
      </c>
      <c r="G21" s="153" t="s">
        <v>41</v>
      </c>
      <c r="H21" s="183" t="s">
        <v>77</v>
      </c>
      <c r="I21" s="209" t="s">
        <v>101</v>
      </c>
      <c r="J21" s="210" t="s">
        <v>102</v>
      </c>
      <c r="K21" s="153" t="s">
        <v>98</v>
      </c>
      <c r="L21" s="153" t="s">
        <v>100</v>
      </c>
      <c r="M21" s="153" t="s">
        <v>82</v>
      </c>
      <c r="N21" s="153" t="s">
        <v>31</v>
      </c>
      <c r="O21" s="135" t="s">
        <v>69</v>
      </c>
      <c r="P21" s="153" t="s">
        <v>72</v>
      </c>
      <c r="Q21" s="153" t="s">
        <v>103</v>
      </c>
      <c r="R21" s="183" t="s">
        <v>77</v>
      </c>
      <c r="S21" s="209" t="s">
        <v>105</v>
      </c>
      <c r="T21" s="210" t="s">
        <v>106</v>
      </c>
      <c r="U21" s="178" t="s">
        <v>98</v>
      </c>
      <c r="V21" s="153" t="s">
        <v>100</v>
      </c>
      <c r="W21" s="153" t="s">
        <v>32</v>
      </c>
      <c r="X21" s="153" t="s">
        <v>69</v>
      </c>
      <c r="Y21" s="153"/>
      <c r="Z21" s="153"/>
      <c r="AA21" s="217"/>
      <c r="AB21" s="153" t="s">
        <v>72</v>
      </c>
      <c r="AC21" s="153" t="s">
        <v>103</v>
      </c>
      <c r="AD21" s="153"/>
      <c r="AE21" s="183" t="s">
        <v>77</v>
      </c>
      <c r="AF21" s="209" t="s">
        <v>609</v>
      </c>
      <c r="AG21" s="210" t="s">
        <v>610</v>
      </c>
      <c r="AH21" s="178" t="s">
        <v>98</v>
      </c>
      <c r="AI21" s="153" t="s">
        <v>100</v>
      </c>
      <c r="AJ21" s="153" t="s">
        <v>33</v>
      </c>
      <c r="AK21" s="153" t="s">
        <v>69</v>
      </c>
      <c r="AL21" s="217"/>
      <c r="AM21" s="153" t="s">
        <v>72</v>
      </c>
      <c r="AN21" s="153" t="s">
        <v>103</v>
      </c>
      <c r="AO21" s="153"/>
      <c r="AP21" s="183" t="s">
        <v>77</v>
      </c>
      <c r="AQ21" s="209" t="s">
        <v>611</v>
      </c>
      <c r="AR21" s="210" t="s">
        <v>610</v>
      </c>
      <c r="AS21" s="178" t="s">
        <v>98</v>
      </c>
      <c r="AT21" s="153" t="s">
        <v>100</v>
      </c>
      <c r="AU21" s="153" t="s">
        <v>34</v>
      </c>
      <c r="AV21" s="153" t="s">
        <v>69</v>
      </c>
      <c r="AW21" s="217"/>
      <c r="AX21" s="153" t="s">
        <v>72</v>
      </c>
      <c r="AY21" s="153" t="s">
        <v>103</v>
      </c>
      <c r="AZ21" s="153"/>
      <c r="BA21" s="183" t="s">
        <v>77</v>
      </c>
      <c r="BB21" s="209" t="s">
        <v>611</v>
      </c>
      <c r="BC21" s="210" t="s">
        <v>610</v>
      </c>
      <c r="BD21" s="178" t="s">
        <v>98</v>
      </c>
      <c r="BE21" s="153" t="s">
        <v>100</v>
      </c>
      <c r="BF21" s="153" t="s">
        <v>34</v>
      </c>
      <c r="BG21" s="153" t="s">
        <v>69</v>
      </c>
      <c r="BH21" s="217"/>
      <c r="BI21" s="153"/>
      <c r="BJ21" s="178"/>
      <c r="BK21" s="276" t="s">
        <v>95</v>
      </c>
      <c r="BL21" s="12"/>
      <c r="BM21" s="227"/>
      <c r="BN21" s="275"/>
      <c r="BO21" s="12"/>
    </row>
    <row r="22" spans="1:67" x14ac:dyDescent="0.25">
      <c r="A22" s="296"/>
      <c r="B22" s="116"/>
      <c r="C22" s="115"/>
      <c r="D22" s="178"/>
      <c r="E22" s="211">
        <f>IF(H29&lt;=H30,H29,H30)</f>
        <v>10</v>
      </c>
      <c r="F22" s="190">
        <f>IF($D$4=2022,1,0)</f>
        <v>0</v>
      </c>
      <c r="G22" s="178">
        <f>IF($B$19="Yes",$C$5,$I19)</f>
        <v>12</v>
      </c>
      <c r="H22" s="191">
        <f>H11</f>
        <v>3</v>
      </c>
      <c r="I22" s="212">
        <f>VLOOKUP(J11,'Lookup Tables'!$AB$22:$AC$31,2,FALSE)</f>
        <v>32</v>
      </c>
      <c r="J22" s="213">
        <f>VLOOKUP(U11,'Lookup Tables'!$AB$32:$AC$41,2,FALSE)</f>
        <v>33</v>
      </c>
      <c r="K22" s="203">
        <f>E22-J22</f>
        <v>-23</v>
      </c>
      <c r="L22" s="178">
        <f>IF(K22&gt;0,1,0)</f>
        <v>0</v>
      </c>
      <c r="M22" s="195">
        <f>M11</f>
        <v>0</v>
      </c>
      <c r="N22" s="196">
        <f>((((('Rate Tables'!B4*9)*0.02778)/5)*K22)*L22)*F22*M22</f>
        <v>0</v>
      </c>
      <c r="O22" s="215">
        <f>O11</f>
        <v>12</v>
      </c>
      <c r="P22" s="197">
        <f>IF(O22&lt;0,O22*0,1)*O22</f>
        <v>12</v>
      </c>
      <c r="Q22" s="203">
        <f>(E22-K22*F22*L22*M22)</f>
        <v>10</v>
      </c>
      <c r="R22" s="191">
        <f>S11</f>
        <v>3</v>
      </c>
      <c r="S22" s="212">
        <f>VLOOKUP(U11,'Lookup Tables'!$AB$22:$AC$31,2,FALSE)</f>
        <v>32</v>
      </c>
      <c r="T22" s="213">
        <f>VLOOKUP(AF11,'Lookup Tables'!$AB$32:$AC$41,2,FALSE)</f>
        <v>33</v>
      </c>
      <c r="U22" s="206">
        <f>Q22-T22</f>
        <v>-23</v>
      </c>
      <c r="V22" s="178">
        <f>IF(U22&gt;0,1,0)</f>
        <v>0</v>
      </c>
      <c r="W22" s="196">
        <f>((('Rate Tables'!C4*9)*0.02778)/5)*U22*F22*V22</f>
        <v>0</v>
      </c>
      <c r="X22" s="197">
        <f>AA11</f>
        <v>2</v>
      </c>
      <c r="Y22" s="178"/>
      <c r="Z22" s="195"/>
      <c r="AA22" s="217"/>
      <c r="AB22" s="197">
        <f>IF(X22&lt;0,X22*0,1)*X22</f>
        <v>2</v>
      </c>
      <c r="AC22" s="203">
        <f>Q22-(U22*V22)</f>
        <v>10</v>
      </c>
      <c r="AD22" s="178"/>
      <c r="AE22" s="191">
        <f>AE11</f>
        <v>1</v>
      </c>
      <c r="AF22" s="212">
        <f>VLOOKUP(AF11,'Lookup Tables'!$AB$22:$AC$31,2,FALSE)</f>
        <v>32</v>
      </c>
      <c r="AG22" s="213">
        <f>VLOOKUP(AQ11,'Lookup Tables'!$AB$32:$AC$41,2,FALSE)</f>
        <v>0</v>
      </c>
      <c r="AH22" s="208">
        <f>AC22-AG22</f>
        <v>10</v>
      </c>
      <c r="AI22" s="178">
        <f>IF(AH22&gt;0,1,0)</f>
        <v>1</v>
      </c>
      <c r="AJ22" s="196">
        <f>((('Rate Tables'!D4*9)*0.02778)/5)*AH22*AI22*F22</f>
        <v>0</v>
      </c>
      <c r="AK22" s="197">
        <f>AL11</f>
        <v>0</v>
      </c>
      <c r="AL22" s="217"/>
      <c r="AM22" s="197">
        <f>IF(AK22&lt;0,AK22*0,1)*AK22</f>
        <v>0</v>
      </c>
      <c r="AN22" s="203">
        <f>AC22-(AH22*AI22)</f>
        <v>0</v>
      </c>
      <c r="AO22" s="178"/>
      <c r="AP22" s="191">
        <f>AP11</f>
        <v>3</v>
      </c>
      <c r="AQ22" s="212">
        <f>VLOOKUP(AQ11,'Lookup Tables'!$AB$22:$AC$31,2,FALSE)</f>
        <v>0</v>
      </c>
      <c r="AR22" s="213">
        <f>VLOOKUP(BB11,'Lookup Tables'!$AB$32:$AC$41,2,FALSE)</f>
        <v>0</v>
      </c>
      <c r="AS22" s="208">
        <f>AN22-AR22</f>
        <v>0</v>
      </c>
      <c r="AT22" s="178">
        <f>IF(AS22&gt;0,1,0)</f>
        <v>0</v>
      </c>
      <c r="AU22" s="196">
        <f>((('Rate Tables'!E4*9)*0.02778)/5)*AS22*AT22*F22</f>
        <v>0</v>
      </c>
      <c r="AV22" s="197">
        <f>AW11</f>
        <v>0</v>
      </c>
      <c r="AW22" s="217"/>
      <c r="AX22" s="197">
        <f>IF(AV22&lt;0,AV22*0,1)*AV22</f>
        <v>0</v>
      </c>
      <c r="AY22" s="203">
        <f>AN22-(AS22*AT22)</f>
        <v>0</v>
      </c>
      <c r="AZ22" s="178"/>
      <c r="BA22" s="191">
        <f>BA11</f>
        <v>3</v>
      </c>
      <c r="BB22" s="212">
        <f>VLOOKUP(BB11,'Lookup Tables'!$AB$22:$AC$31,2,FALSE)</f>
        <v>0</v>
      </c>
      <c r="BC22" s="213">
        <v>0</v>
      </c>
      <c r="BD22" s="208">
        <f>AY22-BC22</f>
        <v>0</v>
      </c>
      <c r="BE22" s="178">
        <f>IF(BD22&gt;0,1,0)</f>
        <v>0</v>
      </c>
      <c r="BF22" s="196">
        <f>((('Rate Tables'!F4*9)*0.02778)/5)*BD22*BE22*AB22</f>
        <v>0</v>
      </c>
      <c r="BG22" s="197">
        <f>BH11</f>
        <v>0</v>
      </c>
      <c r="BH22" s="217"/>
      <c r="BI22" s="197"/>
      <c r="BJ22" s="178"/>
      <c r="BK22" s="716">
        <f>BL19</f>
        <v>10</v>
      </c>
      <c r="BL22" s="225"/>
      <c r="BM22" s="227"/>
      <c r="BN22" s="275"/>
      <c r="BO22" s="12" t="s">
        <v>418</v>
      </c>
    </row>
    <row r="23" spans="1:67" x14ac:dyDescent="0.25">
      <c r="A23" s="296"/>
      <c r="B23" s="116"/>
      <c r="C23" s="117" t="s">
        <v>597</v>
      </c>
      <c r="D23" s="178"/>
      <c r="E23" s="153" t="s">
        <v>84</v>
      </c>
      <c r="F23" s="153" t="s">
        <v>42</v>
      </c>
      <c r="G23" s="153" t="s">
        <v>41</v>
      </c>
      <c r="H23" s="183" t="s">
        <v>77</v>
      </c>
      <c r="I23" s="209" t="s">
        <v>105</v>
      </c>
      <c r="J23" s="210" t="s">
        <v>106</v>
      </c>
      <c r="K23" s="153" t="s">
        <v>99</v>
      </c>
      <c r="L23" s="153" t="s">
        <v>100</v>
      </c>
      <c r="M23" s="153" t="s">
        <v>82</v>
      </c>
      <c r="N23" s="153" t="s">
        <v>32</v>
      </c>
      <c r="O23" s="135" t="s">
        <v>69</v>
      </c>
      <c r="P23" s="153" t="s">
        <v>72</v>
      </c>
      <c r="Q23" s="153" t="s">
        <v>103</v>
      </c>
      <c r="R23" s="183" t="s">
        <v>77</v>
      </c>
      <c r="S23" s="209" t="s">
        <v>105</v>
      </c>
      <c r="T23" s="210" t="s">
        <v>610</v>
      </c>
      <c r="U23" s="178" t="s">
        <v>98</v>
      </c>
      <c r="V23" s="153" t="s">
        <v>100</v>
      </c>
      <c r="W23" s="153" t="s">
        <v>33</v>
      </c>
      <c r="X23" s="153" t="s">
        <v>69</v>
      </c>
      <c r="Y23" s="153"/>
      <c r="Z23" s="153"/>
      <c r="AA23" s="217"/>
      <c r="AB23" s="153" t="s">
        <v>72</v>
      </c>
      <c r="AC23" s="153" t="s">
        <v>104</v>
      </c>
      <c r="AD23" s="153"/>
      <c r="AE23" s="183" t="s">
        <v>77</v>
      </c>
      <c r="AF23" s="209" t="s">
        <v>611</v>
      </c>
      <c r="AG23" s="210" t="s">
        <v>612</v>
      </c>
      <c r="AH23" s="178" t="s">
        <v>98</v>
      </c>
      <c r="AI23" s="153" t="s">
        <v>100</v>
      </c>
      <c r="AJ23" s="153" t="s">
        <v>34</v>
      </c>
      <c r="AK23" s="153" t="s">
        <v>69</v>
      </c>
      <c r="AL23" s="217"/>
      <c r="AM23" s="153" t="s">
        <v>72</v>
      </c>
      <c r="AN23" s="153" t="s">
        <v>104</v>
      </c>
      <c r="AO23" s="153"/>
      <c r="AP23" s="183" t="s">
        <v>77</v>
      </c>
      <c r="AQ23" s="209" t="s">
        <v>613</v>
      </c>
      <c r="AR23" s="210" t="s">
        <v>612</v>
      </c>
      <c r="AS23" s="178" t="s">
        <v>98</v>
      </c>
      <c r="AT23" s="153" t="s">
        <v>100</v>
      </c>
      <c r="AU23" s="153" t="s">
        <v>602</v>
      </c>
      <c r="AV23" s="153" t="s">
        <v>69</v>
      </c>
      <c r="AW23" s="217"/>
      <c r="AX23" s="153" t="s">
        <v>72</v>
      </c>
      <c r="AY23" s="153" t="s">
        <v>104</v>
      </c>
      <c r="AZ23" s="153"/>
      <c r="BA23" s="183" t="s">
        <v>77</v>
      </c>
      <c r="BB23" s="209" t="s">
        <v>613</v>
      </c>
      <c r="BC23" s="210" t="s">
        <v>612</v>
      </c>
      <c r="BD23" s="178" t="s">
        <v>98</v>
      </c>
      <c r="BE23" s="153" t="s">
        <v>100</v>
      </c>
      <c r="BF23" s="153" t="s">
        <v>602</v>
      </c>
      <c r="BG23" s="153" t="s">
        <v>69</v>
      </c>
      <c r="BH23" s="217"/>
      <c r="BI23" s="178"/>
      <c r="BJ23" s="178"/>
      <c r="BK23" s="227"/>
      <c r="BL23" s="224"/>
      <c r="BM23" s="227" t="s">
        <v>451</v>
      </c>
      <c r="BN23" s="275">
        <f>(VLOOKUP($B9,'Rate Tables'!$O$2:$P$8,2,FALSE))</f>
        <v>0.2697</v>
      </c>
      <c r="BO23" s="372">
        <f>VLOOKUP('F&amp;ARatesCalc'!$B$1,'F&amp;ARatesCalc'!$A$3:$B$5,2,FALSE)</f>
        <v>0.56999999999999995</v>
      </c>
    </row>
    <row r="24" spans="1:67" x14ac:dyDescent="0.25">
      <c r="A24" s="296"/>
      <c r="B24" s="116"/>
      <c r="C24" s="115"/>
      <c r="D24" s="178"/>
      <c r="E24" s="211">
        <f>E22</f>
        <v>10</v>
      </c>
      <c r="F24" s="190">
        <f>IF($D$4=2023,1,0)</f>
        <v>0</v>
      </c>
      <c r="G24" s="178">
        <f>IF($B$19="Yes",$C$5,$I19)</f>
        <v>12</v>
      </c>
      <c r="H24" s="191">
        <f>H13</f>
        <v>3</v>
      </c>
      <c r="I24" s="212">
        <f>VLOOKUP(J13,'Lookup Tables'!$AB$22:$AC$31,2,FALSE)</f>
        <v>32</v>
      </c>
      <c r="J24" s="213">
        <f>VLOOKUP(U13,'Lookup Tables'!$AB$32:$AC$41,2,FALSE)</f>
        <v>33</v>
      </c>
      <c r="K24" s="203">
        <f>E24-J24</f>
        <v>-23</v>
      </c>
      <c r="L24" s="178">
        <f>IF(K24&gt;0,1,0)</f>
        <v>0</v>
      </c>
      <c r="M24" s="195">
        <f>M13</f>
        <v>0</v>
      </c>
      <c r="N24" s="196">
        <f>((((('Rate Tables'!C4*9)*0.02778)/5)*K24)*L24)*F24*M24</f>
        <v>0</v>
      </c>
      <c r="O24" s="215">
        <f>O13</f>
        <v>12</v>
      </c>
      <c r="P24" s="197">
        <f>IF(O24&lt;0,O24*0,1)*O24</f>
        <v>12</v>
      </c>
      <c r="Q24" s="203">
        <f>(E24-K24*F24*L24*M24)</f>
        <v>10</v>
      </c>
      <c r="R24" s="191">
        <f>S13</f>
        <v>3</v>
      </c>
      <c r="S24" s="212">
        <f>VLOOKUP(U13,'Lookup Tables'!$AB$22:$AC$31,2,FALSE)</f>
        <v>32</v>
      </c>
      <c r="T24" s="213">
        <f>VLOOKUP(AF13,'Lookup Tables'!$AB$32:$AC$41,2,FALSE)</f>
        <v>33</v>
      </c>
      <c r="U24" s="206">
        <f>Q24-T24</f>
        <v>-23</v>
      </c>
      <c r="V24" s="178">
        <f>IF(U24&gt;0,1,0)</f>
        <v>0</v>
      </c>
      <c r="W24" s="196">
        <f>((('Rate Tables'!D4*9)*0.02778)/5)*U24*F24*V24</f>
        <v>0</v>
      </c>
      <c r="X24" s="197">
        <f>AA13</f>
        <v>2</v>
      </c>
      <c r="Y24" s="178"/>
      <c r="Z24" s="195"/>
      <c r="AA24" s="217"/>
      <c r="AB24" s="197">
        <f>IF(X24&lt;0,X24*0,1)*X24</f>
        <v>2</v>
      </c>
      <c r="AC24" s="203">
        <f>Q24-(U24*V24)</f>
        <v>10</v>
      </c>
      <c r="AD24" s="178"/>
      <c r="AE24" s="191">
        <f>AE13</f>
        <v>1</v>
      </c>
      <c r="AF24" s="212">
        <f>VLOOKUP(AF13,'Lookup Tables'!$AB$22:$AC$31,2,FALSE)</f>
        <v>32</v>
      </c>
      <c r="AG24" s="213">
        <f>VLOOKUP(AQ13,'Lookup Tables'!$AB$32:$AC$41,2,FALSE)</f>
        <v>0</v>
      </c>
      <c r="AH24" s="208">
        <f>AC24-AG24</f>
        <v>10</v>
      </c>
      <c r="AI24" s="178">
        <f>IF(AH24&gt;0,1,0)</f>
        <v>1</v>
      </c>
      <c r="AJ24" s="196">
        <f>((('Rate Tables'!E4*9)*0.02778)/5)*AH24*AI24*F24</f>
        <v>0</v>
      </c>
      <c r="AK24" s="197">
        <f>AL13</f>
        <v>0</v>
      </c>
      <c r="AL24" s="217"/>
      <c r="AM24" s="197">
        <f>IF(AK24&lt;0,AK24*0,1)*AK24</f>
        <v>0</v>
      </c>
      <c r="AN24" s="203">
        <f>AC24-(AH24*AI24)</f>
        <v>0</v>
      </c>
      <c r="AO24" s="178"/>
      <c r="AP24" s="191">
        <f>AP13</f>
        <v>3</v>
      </c>
      <c r="AQ24" s="212">
        <f>VLOOKUP(AQ13,'Lookup Tables'!$AB$22:$AC$31,2,FALSE)</f>
        <v>0</v>
      </c>
      <c r="AR24" s="213">
        <f>VLOOKUP(BB13,'Lookup Tables'!$AB$32:$AC$41,2,FALSE)</f>
        <v>0</v>
      </c>
      <c r="AS24" s="208">
        <f>AN24-AR24</f>
        <v>0</v>
      </c>
      <c r="AT24" s="178">
        <f>IF(AS24&gt;0,1,0)</f>
        <v>0</v>
      </c>
      <c r="AU24" s="196">
        <f>((('Rate Tables'!F4*9)*0.02778)/5)*AS24*AT24*F24</f>
        <v>0</v>
      </c>
      <c r="AV24" s="197">
        <f>AW13</f>
        <v>0</v>
      </c>
      <c r="AW24" s="217"/>
      <c r="AX24" s="197">
        <f>IF(AV24&lt;0,AV24*0,1)*AV24</f>
        <v>0</v>
      </c>
      <c r="AY24" s="203">
        <f>AN24-(AS24*AT24)</f>
        <v>0</v>
      </c>
      <c r="AZ24" s="178"/>
      <c r="BA24" s="191">
        <f>BA13</f>
        <v>3</v>
      </c>
      <c r="BB24" s="212">
        <f>VLOOKUP(BB13,'Lookup Tables'!$AB$22:$AC$31,2,FALSE)</f>
        <v>0</v>
      </c>
      <c r="BC24" s="213">
        <v>0</v>
      </c>
      <c r="BD24" s="208">
        <f>AY24-BC24</f>
        <v>0</v>
      </c>
      <c r="BE24" s="178">
        <f>IF(BD24&gt;0,1,0)</f>
        <v>0</v>
      </c>
      <c r="BF24" s="196">
        <f>((('Rate Tables'!G4*9)*0.02778)/5)*BD24*BE24*AB24</f>
        <v>0</v>
      </c>
      <c r="BG24" s="197">
        <f>BH13</f>
        <v>0</v>
      </c>
      <c r="BH24" s="217"/>
      <c r="BI24" s="178"/>
      <c r="BJ24" s="178"/>
      <c r="BK24" s="227"/>
      <c r="BL24" s="12"/>
      <c r="BM24" s="227" t="s">
        <v>452</v>
      </c>
      <c r="BN24" s="275">
        <f>_xlfn.IFNA(BN23,0)</f>
        <v>0.2697</v>
      </c>
      <c r="BO24" s="12" t="s">
        <v>417</v>
      </c>
    </row>
    <row r="25" spans="1:67" x14ac:dyDescent="0.25">
      <c r="A25" s="296"/>
      <c r="B25" s="116"/>
      <c r="C25" s="117" t="s">
        <v>664</v>
      </c>
      <c r="D25" s="178"/>
      <c r="E25" s="153" t="s">
        <v>84</v>
      </c>
      <c r="F25" s="153" t="s">
        <v>42</v>
      </c>
      <c r="G25" s="153" t="s">
        <v>41</v>
      </c>
      <c r="H25" s="183" t="s">
        <v>77</v>
      </c>
      <c r="I25" s="209" t="s">
        <v>609</v>
      </c>
      <c r="J25" s="210" t="s">
        <v>610</v>
      </c>
      <c r="K25" s="153" t="s">
        <v>99</v>
      </c>
      <c r="L25" s="153" t="s">
        <v>100</v>
      </c>
      <c r="M25" s="153" t="s">
        <v>82</v>
      </c>
      <c r="N25" s="153" t="s">
        <v>33</v>
      </c>
      <c r="O25" s="135" t="s">
        <v>69</v>
      </c>
      <c r="P25" s="153" t="s">
        <v>72</v>
      </c>
      <c r="Q25" s="153" t="s">
        <v>103</v>
      </c>
      <c r="R25" s="183" t="s">
        <v>77</v>
      </c>
      <c r="S25" s="209" t="s">
        <v>611</v>
      </c>
      <c r="T25" s="210" t="s">
        <v>612</v>
      </c>
      <c r="U25" s="178" t="s">
        <v>98</v>
      </c>
      <c r="V25" s="153" t="s">
        <v>100</v>
      </c>
      <c r="W25" s="153" t="s">
        <v>34</v>
      </c>
      <c r="X25" s="153" t="s">
        <v>69</v>
      </c>
      <c r="Y25" s="153"/>
      <c r="Z25" s="153"/>
      <c r="AA25" s="217"/>
      <c r="AB25" s="153" t="s">
        <v>72</v>
      </c>
      <c r="AC25" s="153" t="s">
        <v>104</v>
      </c>
      <c r="AD25" s="153"/>
      <c r="AE25" s="183" t="s">
        <v>77</v>
      </c>
      <c r="AF25" s="209" t="s">
        <v>613</v>
      </c>
      <c r="AG25" s="210" t="s">
        <v>614</v>
      </c>
      <c r="AH25" s="178" t="s">
        <v>98</v>
      </c>
      <c r="AI25" s="153" t="s">
        <v>100</v>
      </c>
      <c r="AJ25" s="153" t="s">
        <v>602</v>
      </c>
      <c r="AK25" s="153" t="s">
        <v>69</v>
      </c>
      <c r="AL25" s="217"/>
      <c r="AM25" s="153" t="s">
        <v>72</v>
      </c>
      <c r="AN25" s="153" t="s">
        <v>104</v>
      </c>
      <c r="AO25" s="153"/>
      <c r="AP25" s="183" t="s">
        <v>77</v>
      </c>
      <c r="AQ25" s="209" t="s">
        <v>615</v>
      </c>
      <c r="AR25" s="210" t="s">
        <v>614</v>
      </c>
      <c r="AS25" s="178" t="s">
        <v>98</v>
      </c>
      <c r="AT25" s="153" t="s">
        <v>100</v>
      </c>
      <c r="AU25" s="153" t="s">
        <v>616</v>
      </c>
      <c r="AV25" s="153" t="s">
        <v>69</v>
      </c>
      <c r="AW25" s="217"/>
      <c r="AX25" s="153" t="s">
        <v>72</v>
      </c>
      <c r="AY25" s="153" t="s">
        <v>104</v>
      </c>
      <c r="AZ25" s="153"/>
      <c r="BA25" s="183" t="s">
        <v>77</v>
      </c>
      <c r="BB25" s="209" t="s">
        <v>615</v>
      </c>
      <c r="BC25" s="210" t="s">
        <v>614</v>
      </c>
      <c r="BD25" s="178" t="s">
        <v>98</v>
      </c>
      <c r="BE25" s="153" t="s">
        <v>100</v>
      </c>
      <c r="BF25" s="153" t="s">
        <v>616</v>
      </c>
      <c r="BG25" s="153" t="s">
        <v>69</v>
      </c>
      <c r="BH25" s="217"/>
      <c r="BI25" s="178"/>
      <c r="BJ25" s="178"/>
      <c r="BK25" s="227"/>
      <c r="BL25" s="12"/>
      <c r="BM25" s="227"/>
      <c r="BN25" s="275"/>
      <c r="BO25" s="12"/>
    </row>
    <row r="26" spans="1:67" x14ac:dyDescent="0.25">
      <c r="A26" s="296"/>
      <c r="B26" s="116"/>
      <c r="C26" s="115"/>
      <c r="D26" s="178"/>
      <c r="E26" s="211">
        <f>E24</f>
        <v>10</v>
      </c>
      <c r="F26" s="190">
        <f>IF($D$4=2024,1,0)</f>
        <v>1</v>
      </c>
      <c r="G26" s="178">
        <f>IF($B$19="Yes",$C$5,$I19)</f>
        <v>12</v>
      </c>
      <c r="H26" s="191">
        <f>H15</f>
        <v>3</v>
      </c>
      <c r="I26" s="212">
        <f>VLOOKUP(J15,'Lookup Tables'!$AB$22:$AC$31,2,FALSE)</f>
        <v>32</v>
      </c>
      <c r="J26" s="213">
        <f>VLOOKUP(U15,'Lookup Tables'!$AB$32:$AC$41,2,FALSE)</f>
        <v>33</v>
      </c>
      <c r="K26" s="203">
        <f>E26-J26</f>
        <v>-23</v>
      </c>
      <c r="L26" s="178">
        <f>IF(K26&gt;0,1,0)</f>
        <v>0</v>
      </c>
      <c r="M26" s="195">
        <f>M15</f>
        <v>0</v>
      </c>
      <c r="N26" s="196">
        <f>((((('Rate Tables'!D4*9)*0.02778)/5)*K26)*L26)*F26*M26</f>
        <v>0</v>
      </c>
      <c r="O26" s="215">
        <f>O15</f>
        <v>12</v>
      </c>
      <c r="P26" s="197">
        <f>IF(O26&lt;0,O26*0,1)*O26</f>
        <v>12</v>
      </c>
      <c r="Q26" s="203">
        <f>(E26-K26*F26*L26*M26)</f>
        <v>10</v>
      </c>
      <c r="R26" s="191">
        <f>S15</f>
        <v>3</v>
      </c>
      <c r="S26" s="212">
        <f>VLOOKUP(U15,'Lookup Tables'!$AB$22:$AC$31,2,FALSE)</f>
        <v>32</v>
      </c>
      <c r="T26" s="213">
        <f>VLOOKUP(AF15,'Lookup Tables'!$AB$32:$AC$41,2,FALSE)</f>
        <v>33</v>
      </c>
      <c r="U26" s="206">
        <f>Q26-T26</f>
        <v>-23</v>
      </c>
      <c r="V26" s="178">
        <f>IF(U26&gt;0,1,0)</f>
        <v>0</v>
      </c>
      <c r="W26" s="196">
        <f>((('Rate Tables'!E4*9)*0.02778)/5)*U26*F26*V26</f>
        <v>0</v>
      </c>
      <c r="X26" s="197">
        <f>AA15</f>
        <v>2</v>
      </c>
      <c r="Y26" s="178"/>
      <c r="Z26" s="195"/>
      <c r="AA26" s="217"/>
      <c r="AB26" s="197">
        <f>IF(X26&lt;0,X26*0,1)*X26</f>
        <v>2</v>
      </c>
      <c r="AC26" s="203">
        <f>Q26-(U26*V26)</f>
        <v>10</v>
      </c>
      <c r="AD26" s="178"/>
      <c r="AE26" s="191">
        <f>AE15</f>
        <v>1</v>
      </c>
      <c r="AF26" s="212">
        <f>VLOOKUP(AF15,'Lookup Tables'!$AB$22:$AC$31,2,FALSE)</f>
        <v>32</v>
      </c>
      <c r="AG26" s="213">
        <f>VLOOKUP(AQ15,'Lookup Tables'!$AB$32:$AC$41,2,FALSE)</f>
        <v>0</v>
      </c>
      <c r="AH26" s="208">
        <f>AC26-AG26</f>
        <v>10</v>
      </c>
      <c r="AI26" s="178">
        <f>IF(AH26&gt;0,1,0)</f>
        <v>1</v>
      </c>
      <c r="AJ26" s="196">
        <f>((('Rate Tables'!F4*9)*0.02778)/5)*AH26*AI26*F26</f>
        <v>0</v>
      </c>
      <c r="AK26" s="197">
        <f>AL15</f>
        <v>0</v>
      </c>
      <c r="AL26" s="217"/>
      <c r="AM26" s="197">
        <f>IF(AK26&lt;0,AK26*0,1)*AK26</f>
        <v>0</v>
      </c>
      <c r="AN26" s="203">
        <f>AC26-(AH26*AI26)</f>
        <v>0</v>
      </c>
      <c r="AO26" s="178"/>
      <c r="AP26" s="191">
        <f>AP15</f>
        <v>3</v>
      </c>
      <c r="AQ26" s="212">
        <f>VLOOKUP(AQ15,'Lookup Tables'!$AB$22:$AC$31,2,FALSE)</f>
        <v>0</v>
      </c>
      <c r="AR26" s="213">
        <f>VLOOKUP(BB15,'Lookup Tables'!$AB$32:$AC$41,2,FALSE)</f>
        <v>0</v>
      </c>
      <c r="AS26" s="208">
        <f>AN26-AR26</f>
        <v>0</v>
      </c>
      <c r="AT26" s="178">
        <f>IF(AS26&gt;0,1,0)</f>
        <v>0</v>
      </c>
      <c r="AU26" s="196">
        <f>((('Rate Tables'!G4*9)*0.02778)/5)*AS26*AT26*F26</f>
        <v>0</v>
      </c>
      <c r="AV26" s="197">
        <f>AW15</f>
        <v>0</v>
      </c>
      <c r="AW26" s="217"/>
      <c r="AX26" s="197">
        <f>IF(AV26&lt;0,AV26*0,1)*AV26</f>
        <v>0</v>
      </c>
      <c r="AY26" s="203">
        <f>AN26-(AS26*AT26)</f>
        <v>0</v>
      </c>
      <c r="AZ26" s="178"/>
      <c r="BA26" s="191">
        <f>BA15</f>
        <v>3</v>
      </c>
      <c r="BB26" s="212">
        <f>VLOOKUP(BB15,'Lookup Tables'!$AB$22:$AC$31,2,FALSE)</f>
        <v>0</v>
      </c>
      <c r="BC26" s="213">
        <v>0</v>
      </c>
      <c r="BD26" s="208">
        <f>AY26-BC26</f>
        <v>0</v>
      </c>
      <c r="BE26" s="178">
        <f>IF(BD26&gt;0,1,0)</f>
        <v>0</v>
      </c>
      <c r="BF26" s="196">
        <f>((('Rate Tables'!H4*9)*0.02778)/5)*BD26*BE26*AB26</f>
        <v>0</v>
      </c>
      <c r="BG26" s="197">
        <f>BH15</f>
        <v>0</v>
      </c>
      <c r="BH26" s="217"/>
      <c r="BI26" s="178"/>
      <c r="BJ26" s="178"/>
      <c r="BK26" s="227"/>
      <c r="BL26" s="12"/>
      <c r="BM26" s="227"/>
      <c r="BN26" s="275"/>
      <c r="BO26" s="12"/>
    </row>
    <row r="27" spans="1:67" x14ac:dyDescent="0.25">
      <c r="A27" s="296"/>
      <c r="B27" s="116"/>
      <c r="C27" s="819" t="s">
        <v>732</v>
      </c>
      <c r="D27" s="178"/>
      <c r="E27" s="153" t="s">
        <v>84</v>
      </c>
      <c r="F27" s="153" t="s">
        <v>42</v>
      </c>
      <c r="G27" s="153" t="s">
        <v>41</v>
      </c>
      <c r="H27" s="183" t="s">
        <v>77</v>
      </c>
      <c r="I27" s="209" t="s">
        <v>609</v>
      </c>
      <c r="J27" s="210" t="s">
        <v>610</v>
      </c>
      <c r="K27" s="153" t="s">
        <v>99</v>
      </c>
      <c r="L27" s="153" t="s">
        <v>100</v>
      </c>
      <c r="M27" s="153" t="s">
        <v>82</v>
      </c>
      <c r="N27" s="153" t="s">
        <v>33</v>
      </c>
      <c r="O27" s="135" t="s">
        <v>69</v>
      </c>
      <c r="P27" s="153" t="s">
        <v>72</v>
      </c>
      <c r="Q27" s="153" t="s">
        <v>103</v>
      </c>
      <c r="R27" s="183" t="s">
        <v>77</v>
      </c>
      <c r="S27" s="209" t="s">
        <v>611</v>
      </c>
      <c r="T27" s="210" t="s">
        <v>612</v>
      </c>
      <c r="U27" s="178" t="s">
        <v>98</v>
      </c>
      <c r="V27" s="153" t="s">
        <v>100</v>
      </c>
      <c r="W27" s="153" t="s">
        <v>34</v>
      </c>
      <c r="X27" s="153" t="s">
        <v>69</v>
      </c>
      <c r="Y27" s="153"/>
      <c r="Z27" s="153"/>
      <c r="AA27" s="217"/>
      <c r="AB27" s="153" t="s">
        <v>72</v>
      </c>
      <c r="AC27" s="153" t="s">
        <v>104</v>
      </c>
      <c r="AD27" s="153"/>
      <c r="AE27" s="183" t="s">
        <v>77</v>
      </c>
      <c r="AF27" s="209" t="s">
        <v>613</v>
      </c>
      <c r="AG27" s="210" t="s">
        <v>614</v>
      </c>
      <c r="AH27" s="178" t="s">
        <v>98</v>
      </c>
      <c r="AI27" s="153" t="s">
        <v>100</v>
      </c>
      <c r="AJ27" s="153" t="s">
        <v>602</v>
      </c>
      <c r="AK27" s="153" t="s">
        <v>69</v>
      </c>
      <c r="AL27" s="217"/>
      <c r="AM27" s="153" t="s">
        <v>72</v>
      </c>
      <c r="AN27" s="153" t="s">
        <v>104</v>
      </c>
      <c r="AO27" s="153"/>
      <c r="AP27" s="183" t="s">
        <v>77</v>
      </c>
      <c r="AQ27" s="209" t="s">
        <v>615</v>
      </c>
      <c r="AR27" s="210" t="s">
        <v>614</v>
      </c>
      <c r="AS27" s="178" t="s">
        <v>98</v>
      </c>
      <c r="AT27" s="153" t="s">
        <v>100</v>
      </c>
      <c r="AU27" s="153" t="s">
        <v>616</v>
      </c>
      <c r="AV27" s="153" t="s">
        <v>69</v>
      </c>
      <c r="AW27" s="217"/>
      <c r="AX27" s="153" t="s">
        <v>72</v>
      </c>
      <c r="AY27" s="153" t="s">
        <v>104</v>
      </c>
      <c r="AZ27" s="153"/>
      <c r="BA27" s="183" t="s">
        <v>77</v>
      </c>
      <c r="BB27" s="209" t="s">
        <v>615</v>
      </c>
      <c r="BC27" s="210" t="s">
        <v>614</v>
      </c>
      <c r="BD27" s="178" t="s">
        <v>98</v>
      </c>
      <c r="BE27" s="153" t="s">
        <v>100</v>
      </c>
      <c r="BF27" s="153" t="s">
        <v>616</v>
      </c>
      <c r="BG27" s="153" t="s">
        <v>69</v>
      </c>
      <c r="BH27" s="217"/>
      <c r="BI27" s="178"/>
      <c r="BJ27" s="178"/>
      <c r="BK27" s="227"/>
      <c r="BL27" s="12"/>
      <c r="BM27" s="227"/>
      <c r="BN27" s="275"/>
      <c r="BO27" s="12"/>
    </row>
    <row r="28" spans="1:67" x14ac:dyDescent="0.25">
      <c r="A28" s="296"/>
      <c r="B28" s="116"/>
      <c r="C28" s="115"/>
      <c r="D28" s="178"/>
      <c r="E28" s="211">
        <f>E26</f>
        <v>10</v>
      </c>
      <c r="F28" s="190">
        <f>IF($D$4=2025,1,0)</f>
        <v>0</v>
      </c>
      <c r="G28" s="178">
        <f>IF($B$19="Yes",$C$5,$I21)</f>
        <v>12</v>
      </c>
      <c r="H28" s="191">
        <f>H17</f>
        <v>3</v>
      </c>
      <c r="I28" s="212">
        <f>VLOOKUP(J17,'Lookup Tables'!$AB$22:$AC$31,2,FALSE)</f>
        <v>32</v>
      </c>
      <c r="J28" s="213">
        <f>VLOOKUP(U17,'Lookup Tables'!$AB$32:$AC$41,2,FALSE)</f>
        <v>33</v>
      </c>
      <c r="K28" s="203">
        <f>E28-J28</f>
        <v>-23</v>
      </c>
      <c r="L28" s="178">
        <f>IF(K28&gt;0,1,0)</f>
        <v>0</v>
      </c>
      <c r="M28" s="195">
        <f>M17</f>
        <v>0</v>
      </c>
      <c r="N28" s="196">
        <f>((((('Rate Tables'!E4*9)*0.02778)/5)*K28)*L28)*F28*M28</f>
        <v>0</v>
      </c>
      <c r="O28" s="215">
        <f>O17</f>
        <v>12</v>
      </c>
      <c r="P28" s="197">
        <f>IF(O28&lt;0,O28*0,1)*O28</f>
        <v>12</v>
      </c>
      <c r="Q28" s="203">
        <f>(E28-K28*F28*L28*M28)</f>
        <v>10</v>
      </c>
      <c r="R28" s="191">
        <f>S17</f>
        <v>3</v>
      </c>
      <c r="S28" s="212">
        <f>VLOOKUP(U17,'Lookup Tables'!$AB$22:$AC$31,2,FALSE)</f>
        <v>32</v>
      </c>
      <c r="T28" s="213">
        <f>VLOOKUP(AF17,'Lookup Tables'!$AB$32:$AC$41,2,FALSE)</f>
        <v>33</v>
      </c>
      <c r="U28" s="206">
        <f>Q28-T28</f>
        <v>-23</v>
      </c>
      <c r="V28" s="178">
        <f>IF(U28&gt;0,1,0)</f>
        <v>0</v>
      </c>
      <c r="W28" s="196">
        <f>((('Rate Tables'!F4*9)*0.02778)/5)*U28*F28*V28</f>
        <v>0</v>
      </c>
      <c r="X28" s="197">
        <f>AA17</f>
        <v>2</v>
      </c>
      <c r="Y28" s="178"/>
      <c r="Z28" s="195"/>
      <c r="AA28" s="217"/>
      <c r="AB28" s="197">
        <f>IF(X28&lt;0,X28*0,1)*X28</f>
        <v>2</v>
      </c>
      <c r="AC28" s="203">
        <f>Q28-(U28*V28)</f>
        <v>10</v>
      </c>
      <c r="AD28" s="178"/>
      <c r="AE28" s="191">
        <f>AE17</f>
        <v>1</v>
      </c>
      <c r="AF28" s="212">
        <f>VLOOKUP(AF17,'Lookup Tables'!$AB$22:$AC$31,2,FALSE)</f>
        <v>32</v>
      </c>
      <c r="AG28" s="213">
        <f>VLOOKUP(AQ17,'Lookup Tables'!$AB$32:$AC$41,2,FALSE)</f>
        <v>0</v>
      </c>
      <c r="AH28" s="208">
        <f>AC28-AG28</f>
        <v>10</v>
      </c>
      <c r="AI28" s="178">
        <f>IF(AH28&gt;0,1,0)</f>
        <v>1</v>
      </c>
      <c r="AJ28" s="196">
        <f>((('Rate Tables'!G4*9)*0.02778)/5)*AH28*AI28*F28</f>
        <v>0</v>
      </c>
      <c r="AK28" s="197">
        <f>AL17</f>
        <v>0</v>
      </c>
      <c r="AL28" s="217"/>
      <c r="AM28" s="197">
        <f>IF(AK28&lt;0,AK28*0,1)*AK28</f>
        <v>0</v>
      </c>
      <c r="AN28" s="203">
        <f>AC28-(AH28*AI28)</f>
        <v>0</v>
      </c>
      <c r="AO28" s="178"/>
      <c r="AP28" s="191">
        <f>AP17</f>
        <v>3</v>
      </c>
      <c r="AQ28" s="212">
        <f>VLOOKUP(AQ17,'Lookup Tables'!$AB$22:$AC$31,2,FALSE)</f>
        <v>0</v>
      </c>
      <c r="AR28" s="213">
        <f>VLOOKUP(BB17,'Lookup Tables'!$AB$32:$AC$41,2,FALSE)</f>
        <v>0</v>
      </c>
      <c r="AS28" s="208">
        <f>AN28-AR28</f>
        <v>0</v>
      </c>
      <c r="AT28" s="178">
        <f>IF(AS28&gt;0,1,0)</f>
        <v>0</v>
      </c>
      <c r="AU28" s="196">
        <f>((('Rate Tables'!H4*9)*0.02778)/5)*AS28*AT28*F28</f>
        <v>0</v>
      </c>
      <c r="AV28" s="197">
        <f>AW17</f>
        <v>0</v>
      </c>
      <c r="AW28" s="217"/>
      <c r="AX28" s="197">
        <f>IF(AV28&lt;0,AV28*0,1)*AV28</f>
        <v>0</v>
      </c>
      <c r="AY28" s="203">
        <f>AN28-(AS28*AT28)</f>
        <v>0</v>
      </c>
      <c r="AZ28" s="178"/>
      <c r="BA28" s="191">
        <f>BA17</f>
        <v>3</v>
      </c>
      <c r="BB28" s="212">
        <f>VLOOKUP(BB17,'Lookup Tables'!$AB$22:$AC$31,2,FALSE)</f>
        <v>0</v>
      </c>
      <c r="BC28" s="213">
        <v>0</v>
      </c>
      <c r="BD28" s="208">
        <f>AY28-BC28</f>
        <v>0</v>
      </c>
      <c r="BE28" s="178">
        <f>IF(BD28&gt;0,1,0)</f>
        <v>0</v>
      </c>
      <c r="BF28" s="196">
        <f>((('Rate Tables'!I4*9)*0.02778)/5)*BD28*BE28*AB28</f>
        <v>0</v>
      </c>
      <c r="BG28" s="197">
        <f>BH17</f>
        <v>0</v>
      </c>
      <c r="BH28" s="217"/>
      <c r="BI28" s="178"/>
      <c r="BJ28" s="178"/>
      <c r="BK28" s="227"/>
      <c r="BL28" s="12"/>
      <c r="BM28" s="227"/>
      <c r="BN28" s="275"/>
      <c r="BO28" s="12"/>
    </row>
    <row r="29" spans="1:67" ht="15.75" thickBot="1" x14ac:dyDescent="0.3">
      <c r="A29" s="296"/>
      <c r="B29" s="116"/>
      <c r="C29" s="114"/>
      <c r="D29" s="178"/>
      <c r="E29" s="178"/>
      <c r="F29" s="178"/>
      <c r="G29" s="749" t="s">
        <v>559</v>
      </c>
      <c r="H29" s="206">
        <f>BK22</f>
        <v>10</v>
      </c>
      <c r="I29" s="178"/>
      <c r="J29" s="178"/>
      <c r="K29" s="178"/>
      <c r="L29" s="178"/>
      <c r="M29" s="178"/>
      <c r="N29" s="178"/>
      <c r="O29" s="217"/>
      <c r="P29" s="178"/>
      <c r="Q29" s="178"/>
      <c r="R29" s="178"/>
      <c r="S29" s="178"/>
      <c r="T29" s="178"/>
      <c r="U29" s="178"/>
      <c r="V29" s="178"/>
      <c r="W29" s="178"/>
      <c r="X29" s="178"/>
      <c r="Y29" s="178"/>
      <c r="Z29" s="178"/>
      <c r="AA29" s="217"/>
      <c r="AB29" s="178"/>
      <c r="AC29" s="178"/>
      <c r="AD29" s="178"/>
      <c r="AE29" s="178"/>
      <c r="AF29" s="178"/>
      <c r="AG29" s="178"/>
      <c r="AH29" s="178"/>
      <c r="AI29" s="178"/>
      <c r="AJ29" s="178"/>
      <c r="AK29" s="178"/>
      <c r="AL29" s="217"/>
      <c r="AM29" s="178"/>
      <c r="AN29" s="178"/>
      <c r="AO29" s="178"/>
      <c r="AP29" s="178"/>
      <c r="AQ29" s="178"/>
      <c r="AR29" s="178"/>
      <c r="AS29" s="178"/>
      <c r="AT29" s="178"/>
      <c r="AU29" s="178"/>
      <c r="AV29" s="178"/>
      <c r="AW29" s="217"/>
      <c r="AX29" s="178"/>
      <c r="AY29" s="178"/>
      <c r="AZ29" s="178"/>
      <c r="BA29" s="178"/>
      <c r="BB29" s="178"/>
      <c r="BC29" s="178"/>
      <c r="BD29" s="178"/>
      <c r="BE29" s="178"/>
      <c r="BF29" s="178"/>
      <c r="BG29" s="178"/>
      <c r="BH29" s="178"/>
      <c r="BI29" s="178"/>
      <c r="BJ29" s="178"/>
      <c r="BK29" s="307"/>
      <c r="BL29" s="12"/>
      <c r="BM29" s="227" t="s">
        <v>453</v>
      </c>
      <c r="BN29" s="275">
        <f>IF(BN24=0,0,BN23)</f>
        <v>0.2697</v>
      </c>
      <c r="BO29" s="12">
        <f>(BN20+BN30)*BO23</f>
        <v>0</v>
      </c>
    </row>
    <row r="30" spans="1:67" ht="15.75" thickBot="1" x14ac:dyDescent="0.3">
      <c r="A30" s="390">
        <f>Personnel!U10</f>
        <v>0</v>
      </c>
      <c r="B30" s="273">
        <f>Personnel!U11</f>
        <v>0</v>
      </c>
      <c r="C30" s="114"/>
      <c r="D30" s="178"/>
      <c r="E30" s="178"/>
      <c r="F30" s="178"/>
      <c r="G30" s="749" t="s">
        <v>560</v>
      </c>
      <c r="H30" s="178">
        <f>VLOOKUP(H22,'Lookup Tables'!$L$62:$Y$74,MATCH(G22,'Lookup Tables'!$L$62:$Y$62,FALSE))</f>
        <v>65</v>
      </c>
      <c r="I30" s="178"/>
      <c r="J30" s="178"/>
      <c r="K30" s="178"/>
      <c r="L30" s="178"/>
      <c r="M30" s="178"/>
      <c r="N30" s="178"/>
      <c r="O30" s="217"/>
      <c r="P30" s="178"/>
      <c r="Q30" s="178"/>
      <c r="R30" s="178"/>
      <c r="S30" s="178"/>
      <c r="T30" s="178"/>
      <c r="U30" s="178"/>
      <c r="V30" s="178"/>
      <c r="W30" s="178"/>
      <c r="X30" s="178"/>
      <c r="Y30" s="178"/>
      <c r="Z30" s="178"/>
      <c r="AA30" s="217"/>
      <c r="AB30" s="178"/>
      <c r="AC30" s="178"/>
      <c r="AD30" s="178"/>
      <c r="AE30" s="178"/>
      <c r="AF30" s="178"/>
      <c r="AG30" s="178"/>
      <c r="AH30" s="178"/>
      <c r="AI30" s="178"/>
      <c r="AJ30" s="178"/>
      <c r="AK30" s="178"/>
      <c r="AL30" s="217"/>
      <c r="AM30" s="178"/>
      <c r="AN30" s="178"/>
      <c r="AO30" s="178"/>
      <c r="AP30" s="178"/>
      <c r="AQ30" s="178"/>
      <c r="AR30" s="178"/>
      <c r="AS30" s="178"/>
      <c r="AT30" s="178"/>
      <c r="AU30" s="178"/>
      <c r="AV30" s="178"/>
      <c r="AW30" s="217"/>
      <c r="AX30" s="178"/>
      <c r="AY30" s="178"/>
      <c r="AZ30" s="178"/>
      <c r="BA30" s="178"/>
      <c r="BB30" s="178"/>
      <c r="BC30" s="178"/>
      <c r="BD30" s="178"/>
      <c r="BE30" s="178"/>
      <c r="BF30" s="178"/>
      <c r="BG30" s="178"/>
      <c r="BH30" s="178"/>
      <c r="BI30" s="178"/>
      <c r="BJ30" s="178"/>
      <c r="BK30" s="309"/>
      <c r="BL30" s="274"/>
      <c r="BM30" s="278" t="s">
        <v>415</v>
      </c>
      <c r="BN30" s="279">
        <f>BN20*BN29</f>
        <v>0</v>
      </c>
      <c r="BO30" s="373">
        <f>BN20+BN30+BO29</f>
        <v>0</v>
      </c>
    </row>
    <row r="31" spans="1:67" ht="15.75" thickBot="1" x14ac:dyDescent="0.3">
      <c r="A31" s="297"/>
      <c r="B31" s="149"/>
      <c r="C31" s="149"/>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80"/>
      <c r="BL31" s="149"/>
      <c r="BM31" s="280"/>
      <c r="BN31" s="281"/>
      <c r="BO31" s="374"/>
    </row>
    <row r="32" spans="1:67" ht="26.25" x14ac:dyDescent="0.25">
      <c r="A32" s="298" t="s">
        <v>174</v>
      </c>
      <c r="B32" s="294" t="s">
        <v>336</v>
      </c>
      <c r="C32" s="259" t="s">
        <v>605</v>
      </c>
      <c r="D32" s="181"/>
      <c r="E32" s="181"/>
      <c r="F32" s="181"/>
      <c r="G32" s="181"/>
      <c r="H32" s="181"/>
      <c r="I32" s="181"/>
      <c r="J32" s="181"/>
      <c r="K32" s="181"/>
      <c r="L32" s="181"/>
      <c r="M32" s="181"/>
      <c r="N32" s="181"/>
      <c r="O32" s="181">
        <v>21</v>
      </c>
      <c r="P32" s="181"/>
      <c r="Q32" s="181"/>
      <c r="R32" s="181"/>
      <c r="S32" s="181"/>
      <c r="T32" s="181"/>
      <c r="U32" s="181"/>
      <c r="V32" s="181"/>
      <c r="W32" s="181"/>
      <c r="X32" s="181"/>
      <c r="Y32" s="181"/>
      <c r="Z32" s="493">
        <v>44378</v>
      </c>
      <c r="AA32" s="493">
        <v>44742</v>
      </c>
      <c r="AB32" s="181"/>
      <c r="AC32" s="181"/>
      <c r="AD32" s="181"/>
      <c r="AE32" s="181"/>
      <c r="AF32" s="181"/>
      <c r="AG32" s="181"/>
      <c r="AH32" s="181"/>
      <c r="AI32" s="181"/>
      <c r="AJ32" s="181"/>
      <c r="AK32" s="181"/>
      <c r="AL32" s="181">
        <v>23</v>
      </c>
      <c r="AM32" s="181"/>
      <c r="AN32" s="181"/>
      <c r="AO32" s="181"/>
      <c r="AP32" s="181"/>
      <c r="AQ32" s="181"/>
      <c r="AR32" s="181"/>
      <c r="AS32" s="181"/>
      <c r="AT32" s="181"/>
      <c r="AU32" s="181"/>
      <c r="AV32" s="181"/>
      <c r="AW32" s="181">
        <v>23</v>
      </c>
      <c r="AX32" s="181"/>
      <c r="AY32" s="181"/>
      <c r="AZ32" s="181"/>
      <c r="BA32" s="181"/>
      <c r="BB32" s="181"/>
      <c r="BC32" s="181"/>
      <c r="BD32" s="181"/>
      <c r="BE32" s="181"/>
      <c r="BF32" s="181"/>
      <c r="BG32" s="181"/>
      <c r="BH32" s="181">
        <v>23</v>
      </c>
      <c r="BI32" s="181"/>
      <c r="BJ32" s="181"/>
      <c r="BK32" s="282"/>
      <c r="BL32" s="144"/>
      <c r="BM32" s="282"/>
      <c r="BN32" s="283"/>
      <c r="BO32" s="12"/>
    </row>
    <row r="33" spans="1:67" x14ac:dyDescent="0.25">
      <c r="A33" s="345">
        <f>Personnel!C16</f>
        <v>0</v>
      </c>
      <c r="B33" s="346" t="str">
        <f>Personnel!C15</f>
        <v>Faculty</v>
      </c>
      <c r="C33" s="347">
        <f>Personnel!C17</f>
        <v>0</v>
      </c>
      <c r="D33" s="178"/>
      <c r="E33" s="178"/>
      <c r="F33" s="178"/>
      <c r="G33" s="178"/>
      <c r="H33" s="178"/>
      <c r="I33" s="178"/>
      <c r="J33" s="178"/>
      <c r="K33" s="178"/>
      <c r="L33" s="178"/>
      <c r="M33" s="178"/>
      <c r="N33" s="178"/>
      <c r="O33" s="178">
        <v>22</v>
      </c>
      <c r="P33" s="178"/>
      <c r="Q33" s="178"/>
      <c r="R33" s="178"/>
      <c r="S33" s="178"/>
      <c r="T33" s="178"/>
      <c r="U33" s="178"/>
      <c r="V33" s="178"/>
      <c r="W33" s="178"/>
      <c r="X33" s="178"/>
      <c r="Y33" s="178"/>
      <c r="Z33" s="178"/>
      <c r="AA33" s="178">
        <v>23</v>
      </c>
      <c r="AB33" s="178"/>
      <c r="AC33" s="178"/>
      <c r="AD33" s="178"/>
      <c r="AE33" s="178"/>
      <c r="AF33" s="178"/>
      <c r="AG33" s="178"/>
      <c r="AH33" s="178"/>
      <c r="AI33" s="178"/>
      <c r="AJ33" s="178"/>
      <c r="AK33" s="178"/>
      <c r="AL33" s="178">
        <v>24</v>
      </c>
      <c r="AM33" s="178"/>
      <c r="AN33" s="178"/>
      <c r="AO33" s="178"/>
      <c r="AP33" s="178"/>
      <c r="AQ33" s="178"/>
      <c r="AR33" s="178"/>
      <c r="AS33" s="178"/>
      <c r="AT33" s="178"/>
      <c r="AU33" s="178"/>
      <c r="AV33" s="178"/>
      <c r="AW33" s="178">
        <v>24</v>
      </c>
      <c r="AX33" s="178"/>
      <c r="AY33" s="178"/>
      <c r="AZ33" s="178"/>
      <c r="BA33" s="178"/>
      <c r="BB33" s="178"/>
      <c r="BC33" s="178"/>
      <c r="BD33" s="178"/>
      <c r="BE33" s="178"/>
      <c r="BF33" s="178"/>
      <c r="BG33" s="178"/>
      <c r="BH33" s="178">
        <v>24</v>
      </c>
      <c r="BI33" s="178"/>
      <c r="BJ33" s="178"/>
      <c r="BK33" s="306" t="s">
        <v>172</v>
      </c>
      <c r="BL33" s="348">
        <f>Personnel!W15</f>
        <v>0</v>
      </c>
      <c r="BM33" s="276" t="s">
        <v>414</v>
      </c>
      <c r="BN33" s="277">
        <f>(N35+N37+N39+N41+Z35+Z37+Z39+Z41+AK35+AK37+AK39+AK41+AV35+AV37+AV39+AV41+BG35+BG37+BG39+BG41)*BL42</f>
        <v>0</v>
      </c>
      <c r="BO33" s="224"/>
    </row>
    <row r="34" spans="1:67" x14ac:dyDescent="0.25">
      <c r="A34" s="296"/>
      <c r="B34" s="116"/>
      <c r="C34" s="117" t="s">
        <v>30</v>
      </c>
      <c r="D34" s="178"/>
      <c r="E34" s="153" t="s">
        <v>16</v>
      </c>
      <c r="F34" s="153" t="s">
        <v>42</v>
      </c>
      <c r="G34" s="153" t="s">
        <v>41</v>
      </c>
      <c r="H34" s="183" t="s">
        <v>77</v>
      </c>
      <c r="I34" s="184" t="s">
        <v>90</v>
      </c>
      <c r="J34" s="185" t="s">
        <v>70</v>
      </c>
      <c r="K34" s="186" t="s">
        <v>93</v>
      </c>
      <c r="L34" s="153" t="s">
        <v>35</v>
      </c>
      <c r="M34" s="153" t="s">
        <v>82</v>
      </c>
      <c r="N34" s="153" t="s">
        <v>31</v>
      </c>
      <c r="O34" s="153" t="s">
        <v>69</v>
      </c>
      <c r="P34" s="153" t="s">
        <v>72</v>
      </c>
      <c r="Q34" s="183" t="s">
        <v>80</v>
      </c>
      <c r="R34" s="187" t="s">
        <v>81</v>
      </c>
      <c r="S34" s="183" t="s">
        <v>77</v>
      </c>
      <c r="T34" s="598" t="s">
        <v>83</v>
      </c>
      <c r="U34" s="185" t="s">
        <v>70</v>
      </c>
      <c r="V34" s="153" t="s">
        <v>91</v>
      </c>
      <c r="W34" s="153" t="s">
        <v>43</v>
      </c>
      <c r="X34" s="153" t="s">
        <v>53</v>
      </c>
      <c r="Y34" s="153" t="s">
        <v>68</v>
      </c>
      <c r="Z34" s="153" t="s">
        <v>32</v>
      </c>
      <c r="AA34" s="153" t="s">
        <v>69</v>
      </c>
      <c r="AB34" s="153" t="s">
        <v>72</v>
      </c>
      <c r="AC34" s="153" t="s">
        <v>80</v>
      </c>
      <c r="AD34" s="187" t="s">
        <v>81</v>
      </c>
      <c r="AE34" s="183" t="s">
        <v>77</v>
      </c>
      <c r="AF34" s="185" t="s">
        <v>70</v>
      </c>
      <c r="AG34" s="153" t="s">
        <v>92</v>
      </c>
      <c r="AH34" s="153" t="s">
        <v>44</v>
      </c>
      <c r="AI34" s="153" t="s">
        <v>78</v>
      </c>
      <c r="AJ34" s="153" t="s">
        <v>68</v>
      </c>
      <c r="AK34" s="153" t="s">
        <v>33</v>
      </c>
      <c r="AL34" s="153" t="s">
        <v>69</v>
      </c>
      <c r="AM34" s="153" t="s">
        <v>72</v>
      </c>
      <c r="AN34" s="153" t="s">
        <v>80</v>
      </c>
      <c r="AO34" s="187" t="s">
        <v>81</v>
      </c>
      <c r="AP34" s="183" t="s">
        <v>77</v>
      </c>
      <c r="AQ34" s="185" t="s">
        <v>70</v>
      </c>
      <c r="AR34" s="153" t="s">
        <v>92</v>
      </c>
      <c r="AS34" s="153" t="s">
        <v>44</v>
      </c>
      <c r="AT34" s="153" t="s">
        <v>78</v>
      </c>
      <c r="AU34" s="153" t="s">
        <v>68</v>
      </c>
      <c r="AV34" s="153" t="s">
        <v>33</v>
      </c>
      <c r="AW34" s="153" t="s">
        <v>69</v>
      </c>
      <c r="AX34" s="153" t="s">
        <v>72</v>
      </c>
      <c r="AY34" s="153" t="s">
        <v>80</v>
      </c>
      <c r="AZ34" s="187" t="s">
        <v>81</v>
      </c>
      <c r="BA34" s="183" t="s">
        <v>77</v>
      </c>
      <c r="BB34" s="185" t="s">
        <v>70</v>
      </c>
      <c r="BC34" s="153" t="s">
        <v>92</v>
      </c>
      <c r="BD34" s="153" t="s">
        <v>44</v>
      </c>
      <c r="BE34" s="153" t="s">
        <v>78</v>
      </c>
      <c r="BF34" s="153" t="s">
        <v>68</v>
      </c>
      <c r="BG34" s="153" t="s">
        <v>33</v>
      </c>
      <c r="BH34" s="153" t="s">
        <v>69</v>
      </c>
      <c r="BI34" s="153"/>
      <c r="BJ34" s="178"/>
      <c r="BK34" s="227"/>
      <c r="BL34" s="349"/>
      <c r="BM34" s="227"/>
      <c r="BN34" s="275"/>
      <c r="BO34" s="12"/>
    </row>
    <row r="35" spans="1:67" x14ac:dyDescent="0.25">
      <c r="A35" s="296"/>
      <c r="B35" s="116"/>
      <c r="C35" s="115"/>
      <c r="D35" s="178"/>
      <c r="E35" s="189">
        <f>BL33</f>
        <v>0</v>
      </c>
      <c r="F35" s="190">
        <f>IF($D$4=2022,1,0)</f>
        <v>0</v>
      </c>
      <c r="G35" s="178">
        <f>IF($B43="Yes",$C$5,$I43)</f>
        <v>12</v>
      </c>
      <c r="H35" s="191">
        <f>VLOOKUP(H42,'Lookup Tables'!$A$22:$B$33,2,FALSE)</f>
        <v>3</v>
      </c>
      <c r="I35" s="192">
        <f>VLOOKUP($E$4,'Lookup Tables'!$AB$46:$AN$58,MATCH($H35,'Lookup Tables'!$AB$46:$AN$46),FALSE)</f>
        <v>12</v>
      </c>
      <c r="J35" s="193">
        <f>VLOOKUP(H35,'Lookup Tables'!$A$3:$AA$16,MATCH(PersonCalcYr3!$G35,'Lookup Tables'!$A$3:$AA$3),FALSE)</f>
        <v>1.5161</v>
      </c>
      <c r="K35" s="194">
        <f>VLOOKUP(H42,'Lookup Tables'!$K$23:$L$34,2,FALSE)</f>
        <v>0</v>
      </c>
      <c r="L35" s="178">
        <f>IF(G35&lt;=K35,G35,K35)</f>
        <v>0</v>
      </c>
      <c r="M35" s="195">
        <f>IF(12-I35&gt;=1,1,0)</f>
        <v>0</v>
      </c>
      <c r="N35" s="196">
        <f>(('Rate Tables'!B9*PersonCalcYr3!E35)*PersonCalcYr3!L35)*PersonCalcYr3!F35*M35</f>
        <v>0</v>
      </c>
      <c r="O35" s="197">
        <f>G35-((J35+L35)*M35)</f>
        <v>12</v>
      </c>
      <c r="P35" s="197">
        <f>IF(O35&lt;0,O35*0,1)*O35</f>
        <v>12</v>
      </c>
      <c r="Q35" s="198">
        <f>H35+(L35*M35)+(J35*M35)</f>
        <v>3</v>
      </c>
      <c r="R35" s="199" t="str">
        <f>VLOOKUP(Q35,'Lookup Tables'!$A$38:$B$151,2,FALSE)</f>
        <v>Sept</v>
      </c>
      <c r="S35" s="191">
        <f>VLOOKUP(R35,'Lookup Tables'!$A$22:$B$33,2,FALSE)</f>
        <v>3</v>
      </c>
      <c r="T35" s="599">
        <f>VLOOKUP($E$4,'Lookup Tables'!$AB$63:$AN$75,MATCH(PersonCalcYr3!$S35,'Lookup Tables'!$AB$63:$AN$63),FALSE)</f>
        <v>0.5161</v>
      </c>
      <c r="U35" s="200">
        <f>VLOOKUP(S35,'Lookup Tables'!$A$3:$AA$16,MATCH(PersonCalcYr3!$P35,'Lookup Tables'!$A$3:$AA$3),FALSE)</f>
        <v>1.5161</v>
      </c>
      <c r="V35" s="496">
        <f>9-T35</f>
        <v>8.4839000000000002</v>
      </c>
      <c r="W35" s="201">
        <f>P35-U35</f>
        <v>10.4839</v>
      </c>
      <c r="X35" s="195">
        <f>IF(V35&lt;=W35,V35,W35)</f>
        <v>8.4839000000000002</v>
      </c>
      <c r="Y35" s="195">
        <f>IF(12-T35-U35-X35&gt;=0,1,0)</f>
        <v>1</v>
      </c>
      <c r="Z35" s="202">
        <f>((('Rate Tables'!C9*$E35)*PersonCalcYr3!$X35)*$F35)*Y35</f>
        <v>0</v>
      </c>
      <c r="AA35" s="197">
        <f>O35-(((U35*U43)+X35)*Y35)</f>
        <v>2</v>
      </c>
      <c r="AB35" s="197">
        <f>IF(AA35&lt;0,AA35*0,1)*AA35</f>
        <v>2</v>
      </c>
      <c r="AC35" s="601">
        <f>S35+(X35*Y35)+((U35*U43)*Y35)</f>
        <v>13</v>
      </c>
      <c r="AD35" s="199" t="str">
        <f>VLOOKUP(AC35,'Lookup Tables'!$A$38:$B$151,2,FALSE)</f>
        <v>July</v>
      </c>
      <c r="AE35" s="191">
        <f>VLOOKUP(AD35,'Lookup Tables'!$A$22:$B$33,2,FALSE)</f>
        <v>1</v>
      </c>
      <c r="AF35" s="200">
        <f>VLOOKUP(AE35,'Lookup Tables'!$A$3:$AA$16,MATCH(PersonCalcYr3!AB35,'Lookup Tables'!$A$3:$AA$3),FALSE)</f>
        <v>1.4839</v>
      </c>
      <c r="AG35" s="178">
        <v>9</v>
      </c>
      <c r="AH35" s="201">
        <f>AB35-AF35</f>
        <v>0.5161</v>
      </c>
      <c r="AI35" s="195">
        <f>IF(AG35&lt;=AH35,AG35,AH35)</f>
        <v>0.5161</v>
      </c>
      <c r="AJ35" s="195">
        <f>IF((AG35+AF35)&lt;=0,0,1)</f>
        <v>1</v>
      </c>
      <c r="AK35" s="204">
        <f>((('Rate Tables'!D9*$E35)*PersonCalcYr3!AI35)*$F35)*AJ35</f>
        <v>0</v>
      </c>
      <c r="AL35" s="197">
        <f>AB35-AF35-AI35</f>
        <v>0</v>
      </c>
      <c r="AM35" s="197">
        <f>IF(AL35&lt;0,AL35*0,1)*AL35</f>
        <v>0</v>
      </c>
      <c r="AN35" s="203">
        <f>AE35+(AI35*AJ35)+((AF35*AF43)*AJ35)</f>
        <v>3</v>
      </c>
      <c r="AO35" s="199" t="str">
        <f>VLOOKUP(AN35,'Lookup Tables'!$A$38:$B$151,2,FALSE)</f>
        <v>Sept</v>
      </c>
      <c r="AP35" s="191">
        <f>VLOOKUP(AO35,'Lookup Tables'!$A$22:$B$33,2,FALSE)</f>
        <v>3</v>
      </c>
      <c r="AQ35" s="200">
        <f>VLOOKUP(AP35,'Lookup Tables'!$A$3:$AA$16,MATCH(PersonCalcYr3!AM35,'Lookup Tables'!$A$3:$AA$3),FALSE)</f>
        <v>0</v>
      </c>
      <c r="AR35" s="178">
        <v>9</v>
      </c>
      <c r="AS35" s="201">
        <f>AM35-AQ35</f>
        <v>0</v>
      </c>
      <c r="AT35" s="195">
        <f>IF(AR35&lt;=AS35,AR35,AS35)</f>
        <v>0</v>
      </c>
      <c r="AU35" s="195">
        <f>IF((AR35+AQ35)&lt;=0,0,1)</f>
        <v>1</v>
      </c>
      <c r="AV35" s="204">
        <f>((('Rate Tables'!E9*$E35)*PersonCalcYr3!AT35)*$F35)*AU35</f>
        <v>0</v>
      </c>
      <c r="AW35" s="197">
        <f>AM35-AQ35-AT35</f>
        <v>0</v>
      </c>
      <c r="AX35" s="197">
        <f>IF(AW35&lt;0,AW35*0,1)*AW35</f>
        <v>0</v>
      </c>
      <c r="AY35" s="203">
        <f>AP35+(AT35*AU35)+((AQ35*AQ43)*AU35)</f>
        <v>3</v>
      </c>
      <c r="AZ35" s="199" t="str">
        <f>VLOOKUP(AY35,'Lookup Tables'!$A$38:$B$151,2,FALSE)</f>
        <v>Sept</v>
      </c>
      <c r="BA35" s="191">
        <f>VLOOKUP(AZ35,'Lookup Tables'!$A$22:$B$33,2,FALSE)</f>
        <v>3</v>
      </c>
      <c r="BB35" s="200">
        <f>VLOOKUP(BA35,'Lookup Tables'!$A$3:$AA$16,MATCH(PersonCalcYr3!AX35,'Lookup Tables'!$A$3:$AA$3),FALSE)</f>
        <v>0</v>
      </c>
      <c r="BC35" s="178">
        <v>9</v>
      </c>
      <c r="BD35" s="201">
        <f>AX35-BB35</f>
        <v>0</v>
      </c>
      <c r="BE35" s="195">
        <f>IF(BC35&lt;=BD35,BC35,BD35)</f>
        <v>0</v>
      </c>
      <c r="BF35" s="195">
        <f>IF((BC35+BB35)&lt;=0,0,1)</f>
        <v>1</v>
      </c>
      <c r="BG35" s="204">
        <f>((('Rate Tables'!F9*$E35)*PersonCalcYr3!BE35)*$F35)*BF35</f>
        <v>0</v>
      </c>
      <c r="BH35" s="197">
        <f>AX35-BB35-BE35</f>
        <v>0</v>
      </c>
      <c r="BI35" s="197"/>
      <c r="BJ35" s="178"/>
      <c r="BK35" s="227"/>
      <c r="BL35" s="350"/>
      <c r="BM35" s="227"/>
      <c r="BN35" s="275"/>
      <c r="BO35" s="12"/>
    </row>
    <row r="36" spans="1:67" x14ac:dyDescent="0.25">
      <c r="A36" s="296"/>
      <c r="B36" s="116"/>
      <c r="C36" s="117" t="s">
        <v>597</v>
      </c>
      <c r="D36" s="178"/>
      <c r="E36" s="153" t="s">
        <v>16</v>
      </c>
      <c r="F36" s="153" t="s">
        <v>42</v>
      </c>
      <c r="G36" s="153" t="s">
        <v>41</v>
      </c>
      <c r="H36" s="183" t="s">
        <v>77</v>
      </c>
      <c r="I36" s="184" t="s">
        <v>90</v>
      </c>
      <c r="J36" s="185" t="s">
        <v>70</v>
      </c>
      <c r="K36" s="186" t="s">
        <v>109</v>
      </c>
      <c r="L36" s="153" t="s">
        <v>53</v>
      </c>
      <c r="M36" s="153" t="s">
        <v>82</v>
      </c>
      <c r="N36" s="153" t="s">
        <v>32</v>
      </c>
      <c r="O36" s="153" t="s">
        <v>69</v>
      </c>
      <c r="P36" s="153" t="s">
        <v>72</v>
      </c>
      <c r="Q36" s="183" t="s">
        <v>80</v>
      </c>
      <c r="R36" s="187" t="s">
        <v>81</v>
      </c>
      <c r="S36" s="183" t="s">
        <v>77</v>
      </c>
      <c r="T36" s="598" t="s">
        <v>83</v>
      </c>
      <c r="U36" s="185" t="s">
        <v>70</v>
      </c>
      <c r="V36" s="153" t="s">
        <v>92</v>
      </c>
      <c r="W36" s="153" t="s">
        <v>44</v>
      </c>
      <c r="X36" s="153" t="s">
        <v>78</v>
      </c>
      <c r="Y36" s="153" t="s">
        <v>68</v>
      </c>
      <c r="Z36" s="153" t="s">
        <v>33</v>
      </c>
      <c r="AA36" s="153" t="s">
        <v>69</v>
      </c>
      <c r="AB36" s="153" t="s">
        <v>72</v>
      </c>
      <c r="AC36" s="153" t="s">
        <v>80</v>
      </c>
      <c r="AD36" s="187" t="s">
        <v>81</v>
      </c>
      <c r="AE36" s="183" t="s">
        <v>77</v>
      </c>
      <c r="AF36" s="185" t="s">
        <v>70</v>
      </c>
      <c r="AG36" s="153" t="s">
        <v>94</v>
      </c>
      <c r="AH36" s="153" t="s">
        <v>45</v>
      </c>
      <c r="AI36" s="153" t="s">
        <v>79</v>
      </c>
      <c r="AJ36" s="153" t="s">
        <v>68</v>
      </c>
      <c r="AK36" s="153" t="s">
        <v>34</v>
      </c>
      <c r="AL36" s="153" t="s">
        <v>69</v>
      </c>
      <c r="AM36" s="153" t="s">
        <v>72</v>
      </c>
      <c r="AN36" s="153" t="s">
        <v>80</v>
      </c>
      <c r="AO36" s="187" t="s">
        <v>81</v>
      </c>
      <c r="AP36" s="183" t="s">
        <v>77</v>
      </c>
      <c r="AQ36" s="185" t="s">
        <v>70</v>
      </c>
      <c r="AR36" s="153" t="s">
        <v>94</v>
      </c>
      <c r="AS36" s="153" t="s">
        <v>45</v>
      </c>
      <c r="AT36" s="153" t="s">
        <v>79</v>
      </c>
      <c r="AU36" s="153" t="s">
        <v>68</v>
      </c>
      <c r="AV36" s="153" t="s">
        <v>34</v>
      </c>
      <c r="AW36" s="153" t="s">
        <v>69</v>
      </c>
      <c r="AX36" s="153" t="s">
        <v>72</v>
      </c>
      <c r="AY36" s="153" t="s">
        <v>80</v>
      </c>
      <c r="AZ36" s="187" t="s">
        <v>81</v>
      </c>
      <c r="BA36" s="183" t="s">
        <v>77</v>
      </c>
      <c r="BB36" s="185" t="s">
        <v>70</v>
      </c>
      <c r="BC36" s="153" t="s">
        <v>94</v>
      </c>
      <c r="BD36" s="153" t="s">
        <v>45</v>
      </c>
      <c r="BE36" s="153" t="s">
        <v>79</v>
      </c>
      <c r="BF36" s="153" t="s">
        <v>68</v>
      </c>
      <c r="BG36" s="153" t="s">
        <v>34</v>
      </c>
      <c r="BH36" s="153" t="s">
        <v>69</v>
      </c>
      <c r="BI36" s="153"/>
      <c r="BJ36" s="178"/>
      <c r="BK36" s="227"/>
      <c r="BL36" s="351"/>
      <c r="BM36" s="227"/>
      <c r="BN36" s="275"/>
      <c r="BO36" s="12"/>
    </row>
    <row r="37" spans="1:67" x14ac:dyDescent="0.25">
      <c r="A37" s="296"/>
      <c r="B37" s="116"/>
      <c r="C37" s="115"/>
      <c r="D37" s="178"/>
      <c r="E37" s="189">
        <f>BL33</f>
        <v>0</v>
      </c>
      <c r="F37" s="190">
        <f>IF($D$4=2023,1,0)</f>
        <v>0</v>
      </c>
      <c r="G37" s="178">
        <f>IF($B43="Yes",$C$5,$I43)</f>
        <v>12</v>
      </c>
      <c r="H37" s="191">
        <f>VLOOKUP(H42,'Lookup Tables'!$A$22:$B$33,2,FALSE)</f>
        <v>3</v>
      </c>
      <c r="I37" s="192">
        <f>VLOOKUP($E$4,'Lookup Tables'!$AB$46:$AN$58,MATCH($H37,'Lookup Tables'!$AB$46:$AN$46),FALSE)</f>
        <v>12</v>
      </c>
      <c r="J37" s="193">
        <f>VLOOKUP(H37,'Lookup Tables'!$A$3:$AA$16,MATCH(PersonCalcYr3!$G37,'Lookup Tables'!$A$3:$AA$3),FALSE)</f>
        <v>1.5161</v>
      </c>
      <c r="K37" s="194">
        <f>VLOOKUP(H42,'Lookup Tables'!$K$23:$L$34,2,FALSE)</f>
        <v>0</v>
      </c>
      <c r="L37" s="178">
        <f>IF(G37&lt;=K37,G37,K37)</f>
        <v>0</v>
      </c>
      <c r="M37" s="195">
        <f>IF(12-I37&gt;=1,1,0)</f>
        <v>0</v>
      </c>
      <c r="N37" s="196">
        <f>(('Rate Tables'!C9*PersonCalcYr3!E37)*PersonCalcYr3!L37)*PersonCalcYr3!F37*M37</f>
        <v>0</v>
      </c>
      <c r="O37" s="197">
        <f>G37-((J37+L37)*M37)</f>
        <v>12</v>
      </c>
      <c r="P37" s="197">
        <f>IF(O37&lt;0,O37*0,1)*O37</f>
        <v>12</v>
      </c>
      <c r="Q37" s="198">
        <f>H37+(L37*M37)+(J37*M37)</f>
        <v>3</v>
      </c>
      <c r="R37" s="199" t="str">
        <f>VLOOKUP(Q37,'Lookup Tables'!$A$38:$B$151,2,FALSE)</f>
        <v>Sept</v>
      </c>
      <c r="S37" s="191">
        <f>VLOOKUP(R37,'Lookup Tables'!$A$22:$B$33,2,FALSE)</f>
        <v>3</v>
      </c>
      <c r="T37" s="599">
        <f>VLOOKUP($E$4,'Lookup Tables'!$AB$63:$AN$75,MATCH(PersonCalcYr3!$S37,'Lookup Tables'!$AB$63:$AN$63),FALSE)</f>
        <v>0.5161</v>
      </c>
      <c r="U37" s="200">
        <f>VLOOKUP(S37,'Lookup Tables'!$A$3:$AA$16,MATCH(PersonCalcYr3!$P37,'Lookup Tables'!$A$3:$AA$3),FALSE)</f>
        <v>1.5161</v>
      </c>
      <c r="V37" s="496">
        <f>9-T37</f>
        <v>8.4839000000000002</v>
      </c>
      <c r="W37" s="201">
        <f>P37-U37</f>
        <v>10.4839</v>
      </c>
      <c r="X37" s="195">
        <f>IF(V37&lt;=W37,V37,W37)</f>
        <v>8.4839000000000002</v>
      </c>
      <c r="Y37" s="195">
        <f>IF(12-T37-U37-X37&gt;=0,1,0)</f>
        <v>1</v>
      </c>
      <c r="Z37" s="202">
        <f>((('Rate Tables'!D9*$E37)*PersonCalcYr3!$X37)*$F37)*Y37</f>
        <v>0</v>
      </c>
      <c r="AA37" s="197">
        <f>O37-(((U37*U43)+X37)*Y37)</f>
        <v>2</v>
      </c>
      <c r="AB37" s="197">
        <f>IF(AA37&lt;0,AA37*0,1)*AA37</f>
        <v>2</v>
      </c>
      <c r="AC37" s="601">
        <f>S37+(X37*Y37)+((U37*U43)*Y37)</f>
        <v>13</v>
      </c>
      <c r="AD37" s="199" t="str">
        <f>VLOOKUP(AC37,'Lookup Tables'!$A$38:$B$151,2,FALSE)</f>
        <v>July</v>
      </c>
      <c r="AE37" s="191">
        <f>VLOOKUP(AD37,'Lookup Tables'!$A$22:$B$33,2,FALSE)</f>
        <v>1</v>
      </c>
      <c r="AF37" s="200">
        <f>VLOOKUP(AE37,'Lookup Tables'!$A$3:$AA$16,MATCH(PersonCalcYr3!AB37,'Lookup Tables'!$A$3:$AA$3),FALSE)</f>
        <v>1.4839</v>
      </c>
      <c r="AG37" s="178">
        <v>9</v>
      </c>
      <c r="AH37" s="201">
        <f>AB37-AF37</f>
        <v>0.5161</v>
      </c>
      <c r="AI37" s="195">
        <f>IF(AG37&lt;=AH37,AG37,AH37)</f>
        <v>0.5161</v>
      </c>
      <c r="AJ37" s="195">
        <f>IF((AG37+AF37)&lt;=0,0,1)</f>
        <v>1</v>
      </c>
      <c r="AK37" s="204">
        <f>((('Rate Tables'!E9*$E37)*PersonCalcYr3!AI37)*$F37)*AJ37</f>
        <v>0</v>
      </c>
      <c r="AL37" s="197">
        <f>AB37-AF37-AI37</f>
        <v>0</v>
      </c>
      <c r="AM37" s="197">
        <f>IF(AL37&lt;0,AL37*0,1)*AL37</f>
        <v>0</v>
      </c>
      <c r="AN37" s="601">
        <f>AE37+(AI37*AJ37)+((AF37*AF43)*AJ37)</f>
        <v>3</v>
      </c>
      <c r="AO37" s="199" t="str">
        <f>VLOOKUP(AN37,'Lookup Tables'!$A$38:$B$151,2,FALSE)</f>
        <v>Sept</v>
      </c>
      <c r="AP37" s="191">
        <f>VLOOKUP(AO37,'Lookup Tables'!$A$22:$B$33,2,FALSE)</f>
        <v>3</v>
      </c>
      <c r="AQ37" s="200">
        <f>VLOOKUP(AP37,'Lookup Tables'!$A$3:$AA$16,MATCH(PersonCalcYr3!AM37,'Lookup Tables'!$A$3:$AA$3),FALSE)</f>
        <v>0</v>
      </c>
      <c r="AR37" s="178">
        <v>9</v>
      </c>
      <c r="AS37" s="201">
        <f>AM37-AQ37</f>
        <v>0</v>
      </c>
      <c r="AT37" s="195">
        <f>IF(AR37&lt;=AS37,AR37,AS37)</f>
        <v>0</v>
      </c>
      <c r="AU37" s="195">
        <f>IF((AR37+AQ37)&lt;=0,0,1)</f>
        <v>1</v>
      </c>
      <c r="AV37" s="204">
        <f>((('Rate Tables'!F9*$E37)*PersonCalcYr3!AT37)*$F37)*AU37</f>
        <v>0</v>
      </c>
      <c r="AW37" s="197">
        <f>AM37-AQ37-AT37</f>
        <v>0</v>
      </c>
      <c r="AX37" s="197">
        <f>IF(AW37&lt;0,AW37*0,1)*AW37</f>
        <v>0</v>
      </c>
      <c r="AY37" s="601">
        <f>AP37+(AT37*AU37)+((AQ37*AQ43)*AU37)</f>
        <v>3</v>
      </c>
      <c r="AZ37" s="199" t="str">
        <f>VLOOKUP(AY37,'Lookup Tables'!$A$38:$B$151,2,FALSE)</f>
        <v>Sept</v>
      </c>
      <c r="BA37" s="191">
        <f>VLOOKUP(AZ37,'Lookup Tables'!$A$22:$B$33,2,FALSE)</f>
        <v>3</v>
      </c>
      <c r="BB37" s="200">
        <f>VLOOKUP(BA37,'Lookup Tables'!$A$3:$AA$16,MATCH(PersonCalcYr3!AX37,'Lookup Tables'!$A$3:$AA$3),FALSE)</f>
        <v>0</v>
      </c>
      <c r="BC37" s="178">
        <v>9</v>
      </c>
      <c r="BD37" s="201">
        <f>AX37-BB37</f>
        <v>0</v>
      </c>
      <c r="BE37" s="195">
        <f>IF(BC37&lt;=BD37,BC37,BD37)</f>
        <v>0</v>
      </c>
      <c r="BF37" s="195">
        <f>IF((BC37+BB37)&lt;=0,0,1)</f>
        <v>1</v>
      </c>
      <c r="BG37" s="204">
        <f>((('Rate Tables'!G9*$E37)*PersonCalcYr3!BE37)*$F37)*BF37</f>
        <v>0</v>
      </c>
      <c r="BH37" s="197">
        <f>AX37-BB37-BE37</f>
        <v>0</v>
      </c>
      <c r="BI37" s="197"/>
      <c r="BJ37" s="178"/>
      <c r="BK37" s="227"/>
      <c r="BL37" s="349"/>
      <c r="BM37" s="227"/>
      <c r="BN37" s="275"/>
      <c r="BO37" s="12"/>
    </row>
    <row r="38" spans="1:67" x14ac:dyDescent="0.25">
      <c r="A38" s="296"/>
      <c r="B38" s="116"/>
      <c r="C38" s="117" t="s">
        <v>664</v>
      </c>
      <c r="D38" s="178"/>
      <c r="E38" s="153" t="s">
        <v>16</v>
      </c>
      <c r="F38" s="153" t="s">
        <v>42</v>
      </c>
      <c r="G38" s="153" t="s">
        <v>41</v>
      </c>
      <c r="H38" s="183" t="s">
        <v>77</v>
      </c>
      <c r="I38" s="184" t="s">
        <v>90</v>
      </c>
      <c r="J38" s="185" t="s">
        <v>70</v>
      </c>
      <c r="K38" s="186" t="s">
        <v>109</v>
      </c>
      <c r="L38" s="153" t="s">
        <v>53</v>
      </c>
      <c r="M38" s="153" t="s">
        <v>82</v>
      </c>
      <c r="N38" s="153" t="s">
        <v>32</v>
      </c>
      <c r="O38" s="153" t="s">
        <v>69</v>
      </c>
      <c r="P38" s="153" t="s">
        <v>72</v>
      </c>
      <c r="Q38" s="183" t="s">
        <v>80</v>
      </c>
      <c r="R38" s="187" t="s">
        <v>81</v>
      </c>
      <c r="S38" s="183" t="s">
        <v>77</v>
      </c>
      <c r="T38" s="598" t="s">
        <v>83</v>
      </c>
      <c r="U38" s="185" t="s">
        <v>70</v>
      </c>
      <c r="V38" s="153" t="s">
        <v>92</v>
      </c>
      <c r="W38" s="153" t="s">
        <v>44</v>
      </c>
      <c r="X38" s="153" t="s">
        <v>78</v>
      </c>
      <c r="Y38" s="153" t="s">
        <v>68</v>
      </c>
      <c r="Z38" s="153" t="s">
        <v>33</v>
      </c>
      <c r="AA38" s="153" t="s">
        <v>69</v>
      </c>
      <c r="AB38" s="153" t="s">
        <v>72</v>
      </c>
      <c r="AC38" s="153" t="s">
        <v>80</v>
      </c>
      <c r="AD38" s="187" t="s">
        <v>81</v>
      </c>
      <c r="AE38" s="183" t="s">
        <v>77</v>
      </c>
      <c r="AF38" s="185" t="s">
        <v>70</v>
      </c>
      <c r="AG38" s="153" t="s">
        <v>94</v>
      </c>
      <c r="AH38" s="153" t="s">
        <v>45</v>
      </c>
      <c r="AI38" s="153" t="s">
        <v>79</v>
      </c>
      <c r="AJ38" s="153" t="s">
        <v>68</v>
      </c>
      <c r="AK38" s="153" t="s">
        <v>34</v>
      </c>
      <c r="AL38" s="153" t="s">
        <v>69</v>
      </c>
      <c r="AM38" s="153" t="s">
        <v>72</v>
      </c>
      <c r="AN38" s="153" t="s">
        <v>80</v>
      </c>
      <c r="AO38" s="187" t="s">
        <v>81</v>
      </c>
      <c r="AP38" s="183" t="s">
        <v>77</v>
      </c>
      <c r="AQ38" s="185" t="s">
        <v>70</v>
      </c>
      <c r="AR38" s="153" t="s">
        <v>94</v>
      </c>
      <c r="AS38" s="153" t="s">
        <v>45</v>
      </c>
      <c r="AT38" s="153" t="s">
        <v>79</v>
      </c>
      <c r="AU38" s="153" t="s">
        <v>68</v>
      </c>
      <c r="AV38" s="153" t="s">
        <v>34</v>
      </c>
      <c r="AW38" s="153" t="s">
        <v>69</v>
      </c>
      <c r="AX38" s="153" t="s">
        <v>72</v>
      </c>
      <c r="AY38" s="153" t="s">
        <v>80</v>
      </c>
      <c r="AZ38" s="187" t="s">
        <v>81</v>
      </c>
      <c r="BA38" s="183" t="s">
        <v>77</v>
      </c>
      <c r="BB38" s="185" t="s">
        <v>70</v>
      </c>
      <c r="BC38" s="153" t="s">
        <v>94</v>
      </c>
      <c r="BD38" s="153" t="s">
        <v>45</v>
      </c>
      <c r="BE38" s="153" t="s">
        <v>79</v>
      </c>
      <c r="BF38" s="153" t="s">
        <v>68</v>
      </c>
      <c r="BG38" s="153" t="s">
        <v>34</v>
      </c>
      <c r="BH38" s="153" t="s">
        <v>69</v>
      </c>
      <c r="BI38" s="197"/>
      <c r="BJ38" s="178"/>
      <c r="BK38" s="227"/>
      <c r="BL38" s="349"/>
      <c r="BM38" s="227"/>
      <c r="BN38" s="275"/>
      <c r="BO38" s="12"/>
    </row>
    <row r="39" spans="1:67" x14ac:dyDescent="0.25">
      <c r="A39" s="296"/>
      <c r="B39" s="116"/>
      <c r="C39" s="115"/>
      <c r="D39" s="178"/>
      <c r="E39" s="189">
        <f>BL33</f>
        <v>0</v>
      </c>
      <c r="F39" s="190">
        <f>IF($D$4=2024,1,0)</f>
        <v>1</v>
      </c>
      <c r="G39" s="178">
        <f>IF($B43="Yes",$C$5,$I43)</f>
        <v>12</v>
      </c>
      <c r="H39" s="191">
        <f>VLOOKUP(H42,'Lookup Tables'!$A$22:$B$33,2,FALSE)</f>
        <v>3</v>
      </c>
      <c r="I39" s="192">
        <f>VLOOKUP($E$4,'Lookup Tables'!$AB$46:$AN$58,MATCH($H39,'Lookup Tables'!$AB$46:$AN$46),FALSE)</f>
        <v>12</v>
      </c>
      <c r="J39" s="193">
        <f>VLOOKUP(H39,'Lookup Tables'!$A$3:$AA$16,MATCH(PersonCalcYr3!$G39,'Lookup Tables'!$A$3:$AA$3),FALSE)</f>
        <v>1.5161</v>
      </c>
      <c r="K39" s="194">
        <f>VLOOKUP(H42,'Lookup Tables'!$K$23:$L$34,2,FALSE)</f>
        <v>0</v>
      </c>
      <c r="L39" s="178">
        <f>IF(G39&lt;=K39,G39,K39)</f>
        <v>0</v>
      </c>
      <c r="M39" s="195">
        <f>IF(12-I39&gt;=1,1,0)</f>
        <v>0</v>
      </c>
      <c r="N39" s="196">
        <f>(('Rate Tables'!D9*PersonCalcYr3!E39)*PersonCalcYr3!L39)*PersonCalcYr3!F39*M39</f>
        <v>0</v>
      </c>
      <c r="O39" s="197">
        <f>G39-((J39+L39)*M39)</f>
        <v>12</v>
      </c>
      <c r="P39" s="197">
        <f>IF(O39&lt;0,O39*0,1)*O39</f>
        <v>12</v>
      </c>
      <c r="Q39" s="198">
        <f>H39+(L39*M39)+(J39*M39)</f>
        <v>3</v>
      </c>
      <c r="R39" s="199" t="str">
        <f>VLOOKUP(Q39,'Lookup Tables'!$A$38:$B$151,2,FALSE)</f>
        <v>Sept</v>
      </c>
      <c r="S39" s="191">
        <f>VLOOKUP(R39,'Lookup Tables'!$A$22:$B$33,2,FALSE)</f>
        <v>3</v>
      </c>
      <c r="T39" s="599">
        <f>VLOOKUP($E$4,'Lookup Tables'!$AB$63:$AN$75,MATCH(PersonCalcYr3!$S39,'Lookup Tables'!$AB$63:$AN$63),FALSE)</f>
        <v>0.5161</v>
      </c>
      <c r="U39" s="200">
        <f>VLOOKUP(S39,'Lookup Tables'!$A$3:$AA$16,MATCH(PersonCalcYr3!$P39,'Lookup Tables'!$A$3:$AA$3),FALSE)</f>
        <v>1.5161</v>
      </c>
      <c r="V39" s="496">
        <f>9-T39</f>
        <v>8.4839000000000002</v>
      </c>
      <c r="W39" s="201">
        <f>P39-U39</f>
        <v>10.4839</v>
      </c>
      <c r="X39" s="195">
        <f>IF(V39&lt;=W39,V39,W39)</f>
        <v>8.4839000000000002</v>
      </c>
      <c r="Y39" s="195">
        <f>IF(12-T39-U39-X39&gt;=0,1,0)</f>
        <v>1</v>
      </c>
      <c r="Z39" s="202">
        <f>((('Rate Tables'!E9*$E39)*PersonCalcYr3!$X39)*$F39)*Y39</f>
        <v>0</v>
      </c>
      <c r="AA39" s="197">
        <f>O39-(((U39*U43)+X39)*Y39)</f>
        <v>2</v>
      </c>
      <c r="AB39" s="197">
        <f>IF(AA39&lt;0,AA39*0,1)*AA39</f>
        <v>2</v>
      </c>
      <c r="AC39" s="601">
        <f>S39+(X39*Y39)+((U39*U43)*Y39)</f>
        <v>13</v>
      </c>
      <c r="AD39" s="199" t="str">
        <f>VLOOKUP(AC39,'Lookup Tables'!$A$38:$B$151,2,FALSE)</f>
        <v>July</v>
      </c>
      <c r="AE39" s="191">
        <f>VLOOKUP(AD39,'Lookup Tables'!$A$22:$B$33,2,FALSE)</f>
        <v>1</v>
      </c>
      <c r="AF39" s="200">
        <f>VLOOKUP(AE39,'Lookup Tables'!$A$3:$AA$16,MATCH(PersonCalcYr3!AB39,'Lookup Tables'!$A$3:$AA$3),FALSE)</f>
        <v>1.4839</v>
      </c>
      <c r="AG39" s="178">
        <v>9</v>
      </c>
      <c r="AH39" s="201">
        <f>AB39-AF39</f>
        <v>0.5161</v>
      </c>
      <c r="AI39" s="195">
        <f>IF(AG39&lt;=AH39,AG39,AH39)</f>
        <v>0.5161</v>
      </c>
      <c r="AJ39" s="195">
        <f>IF((AG39+AF39)&lt;=0,0,1)</f>
        <v>1</v>
      </c>
      <c r="AK39" s="204">
        <f>((('Rate Tables'!F9*$E39)*PersonCalcYr3!AI39)*$F39)*AJ39</f>
        <v>0</v>
      </c>
      <c r="AL39" s="197">
        <f>AB39-AF39-AI39</f>
        <v>0</v>
      </c>
      <c r="AM39" s="197">
        <f>IF(AL39&lt;0,AL39*0,1)*AL39</f>
        <v>0</v>
      </c>
      <c r="AN39" s="601">
        <f>AE39+(AI39*AJ39)+((AF39*AF43)*AJ39)</f>
        <v>3</v>
      </c>
      <c r="AO39" s="199" t="str">
        <f>VLOOKUP(AN39,'Lookup Tables'!$A$38:$B$151,2,FALSE)</f>
        <v>Sept</v>
      </c>
      <c r="AP39" s="191">
        <f>VLOOKUP(AO39,'Lookup Tables'!$A$22:$B$33,2,FALSE)</f>
        <v>3</v>
      </c>
      <c r="AQ39" s="200">
        <f>VLOOKUP(AP39,'Lookup Tables'!$A$3:$AA$16,MATCH(PersonCalcYr3!AM39,'Lookup Tables'!$A$3:$AA$3),FALSE)</f>
        <v>0</v>
      </c>
      <c r="AR39" s="178">
        <v>9</v>
      </c>
      <c r="AS39" s="201">
        <f>AM39-AQ39</f>
        <v>0</v>
      </c>
      <c r="AT39" s="195">
        <f>IF(AR39&lt;=AS39,AR39,AS39)</f>
        <v>0</v>
      </c>
      <c r="AU39" s="195">
        <f>IF((AR39+AQ39)&lt;=0,0,1)</f>
        <v>1</v>
      </c>
      <c r="AV39" s="204">
        <f>((('Rate Tables'!G9*$E39)*PersonCalcYr3!AT39)*$F39)*AU39</f>
        <v>0</v>
      </c>
      <c r="AW39" s="197">
        <f>AM39-AQ39-AT39</f>
        <v>0</v>
      </c>
      <c r="AX39" s="197">
        <f>IF(AW39&lt;0,AW39*0,1)*AW39</f>
        <v>0</v>
      </c>
      <c r="AY39" s="601">
        <f>AP39+(AT39*AU39)+((AQ39*AQ43)*AU39)</f>
        <v>3</v>
      </c>
      <c r="AZ39" s="199" t="str">
        <f>VLOOKUP(AY39,'Lookup Tables'!$A$38:$B$151,2,FALSE)</f>
        <v>Sept</v>
      </c>
      <c r="BA39" s="191">
        <f>VLOOKUP(AZ39,'Lookup Tables'!$A$22:$B$33,2,FALSE)</f>
        <v>3</v>
      </c>
      <c r="BB39" s="200">
        <f>VLOOKUP(BA39,'Lookup Tables'!$A$3:$AA$16,MATCH(PersonCalcYr3!AX39,'Lookup Tables'!$A$3:$AA$3),FALSE)</f>
        <v>0</v>
      </c>
      <c r="BC39" s="178">
        <v>9</v>
      </c>
      <c r="BD39" s="201">
        <f>AX39-BB39</f>
        <v>0</v>
      </c>
      <c r="BE39" s="195">
        <f>IF(BC39&lt;=BD39,BC39,BD39)</f>
        <v>0</v>
      </c>
      <c r="BF39" s="195">
        <f>IF((BC39+BB39)&lt;=0,0,1)</f>
        <v>1</v>
      </c>
      <c r="BG39" s="204">
        <f>((('Rate Tables'!H9*$E39)*PersonCalcYr3!BE39)*$F39)*BF39</f>
        <v>0</v>
      </c>
      <c r="BH39" s="197">
        <f>AX39-BB39-BE39</f>
        <v>0</v>
      </c>
      <c r="BI39" s="197"/>
      <c r="BJ39" s="178"/>
      <c r="BK39" s="227"/>
      <c r="BL39" s="349"/>
      <c r="BM39" s="227"/>
      <c r="BN39" s="275"/>
      <c r="BO39" s="12"/>
    </row>
    <row r="40" spans="1:67" x14ac:dyDescent="0.25">
      <c r="A40" s="296"/>
      <c r="B40" s="116"/>
      <c r="C40" s="819" t="s">
        <v>732</v>
      </c>
      <c r="D40" s="178"/>
      <c r="E40" s="153" t="s">
        <v>16</v>
      </c>
      <c r="F40" s="153" t="s">
        <v>42</v>
      </c>
      <c r="G40" s="153" t="s">
        <v>41</v>
      </c>
      <c r="H40" s="183" t="s">
        <v>77</v>
      </c>
      <c r="I40" s="184" t="s">
        <v>90</v>
      </c>
      <c r="J40" s="185" t="s">
        <v>70</v>
      </c>
      <c r="K40" s="186" t="s">
        <v>109</v>
      </c>
      <c r="L40" s="153" t="s">
        <v>53</v>
      </c>
      <c r="M40" s="153" t="s">
        <v>82</v>
      </c>
      <c r="N40" s="153" t="s">
        <v>32</v>
      </c>
      <c r="O40" s="153" t="s">
        <v>69</v>
      </c>
      <c r="P40" s="153" t="s">
        <v>72</v>
      </c>
      <c r="Q40" s="183" t="s">
        <v>80</v>
      </c>
      <c r="R40" s="187" t="s">
        <v>81</v>
      </c>
      <c r="S40" s="183" t="s">
        <v>77</v>
      </c>
      <c r="T40" s="598" t="s">
        <v>83</v>
      </c>
      <c r="U40" s="185" t="s">
        <v>70</v>
      </c>
      <c r="V40" s="153" t="s">
        <v>92</v>
      </c>
      <c r="W40" s="153" t="s">
        <v>44</v>
      </c>
      <c r="X40" s="153" t="s">
        <v>78</v>
      </c>
      <c r="Y40" s="153" t="s">
        <v>68</v>
      </c>
      <c r="Z40" s="153" t="s">
        <v>33</v>
      </c>
      <c r="AA40" s="153" t="s">
        <v>69</v>
      </c>
      <c r="AB40" s="153" t="s">
        <v>72</v>
      </c>
      <c r="AC40" s="153" t="s">
        <v>80</v>
      </c>
      <c r="AD40" s="187" t="s">
        <v>81</v>
      </c>
      <c r="AE40" s="183" t="s">
        <v>77</v>
      </c>
      <c r="AF40" s="185" t="s">
        <v>70</v>
      </c>
      <c r="AG40" s="153" t="s">
        <v>94</v>
      </c>
      <c r="AH40" s="153" t="s">
        <v>45</v>
      </c>
      <c r="AI40" s="153" t="s">
        <v>79</v>
      </c>
      <c r="AJ40" s="153" t="s">
        <v>68</v>
      </c>
      <c r="AK40" s="153" t="s">
        <v>34</v>
      </c>
      <c r="AL40" s="153" t="s">
        <v>69</v>
      </c>
      <c r="AM40" s="153" t="s">
        <v>72</v>
      </c>
      <c r="AN40" s="153" t="s">
        <v>80</v>
      </c>
      <c r="AO40" s="187" t="s">
        <v>81</v>
      </c>
      <c r="AP40" s="183" t="s">
        <v>77</v>
      </c>
      <c r="AQ40" s="185" t="s">
        <v>70</v>
      </c>
      <c r="AR40" s="153" t="s">
        <v>94</v>
      </c>
      <c r="AS40" s="153" t="s">
        <v>45</v>
      </c>
      <c r="AT40" s="153" t="s">
        <v>79</v>
      </c>
      <c r="AU40" s="153" t="s">
        <v>68</v>
      </c>
      <c r="AV40" s="153" t="s">
        <v>34</v>
      </c>
      <c r="AW40" s="153" t="s">
        <v>69</v>
      </c>
      <c r="AX40" s="153" t="s">
        <v>72</v>
      </c>
      <c r="AY40" s="153" t="s">
        <v>80</v>
      </c>
      <c r="AZ40" s="187" t="s">
        <v>81</v>
      </c>
      <c r="BA40" s="183" t="s">
        <v>77</v>
      </c>
      <c r="BB40" s="185" t="s">
        <v>70</v>
      </c>
      <c r="BC40" s="153" t="s">
        <v>94</v>
      </c>
      <c r="BD40" s="153" t="s">
        <v>45</v>
      </c>
      <c r="BE40" s="153" t="s">
        <v>79</v>
      </c>
      <c r="BF40" s="153" t="s">
        <v>68</v>
      </c>
      <c r="BG40" s="153" t="s">
        <v>34</v>
      </c>
      <c r="BH40" s="153" t="s">
        <v>69</v>
      </c>
      <c r="BI40" s="197"/>
      <c r="BJ40" s="178"/>
      <c r="BK40" s="227"/>
      <c r="BL40" s="349"/>
      <c r="BM40" s="227"/>
      <c r="BN40" s="275"/>
      <c r="BO40" s="12"/>
    </row>
    <row r="41" spans="1:67" x14ac:dyDescent="0.25">
      <c r="A41" s="296"/>
      <c r="B41" s="116"/>
      <c r="C41" s="115"/>
      <c r="D41" s="178"/>
      <c r="E41" s="189">
        <f>BL33</f>
        <v>0</v>
      </c>
      <c r="F41" s="190">
        <f>IF($D$4=2025,1,0)</f>
        <v>0</v>
      </c>
      <c r="G41" s="178">
        <f>IF($B43="Yes",$C$5,$I43)</f>
        <v>12</v>
      </c>
      <c r="H41" s="191">
        <f>VLOOKUP(H42,'Lookup Tables'!$A$22:$B$33,2,FALSE)</f>
        <v>3</v>
      </c>
      <c r="I41" s="192">
        <f>VLOOKUP($E$4,'Lookup Tables'!$AB$46:$AN$58,MATCH($H41,'Lookup Tables'!$AB$46:$AN$46),FALSE)</f>
        <v>12</v>
      </c>
      <c r="J41" s="193">
        <f>VLOOKUP(H41,'Lookup Tables'!$A$3:$AA$16,MATCH(PersonCalcYr3!$G41,'Lookup Tables'!$A$3:$AA$3),FALSE)</f>
        <v>1.5161</v>
      </c>
      <c r="K41" s="194">
        <f>VLOOKUP(H42,'Lookup Tables'!$K$23:$L$34,2,FALSE)</f>
        <v>0</v>
      </c>
      <c r="L41" s="178">
        <f>IF(G41&lt;=K41,G41,K41)</f>
        <v>0</v>
      </c>
      <c r="M41" s="195">
        <f>IF(12-I41&gt;=1,1,0)</f>
        <v>0</v>
      </c>
      <c r="N41" s="196">
        <f>(('Rate Tables'!E9*PersonCalcYr3!E41)*PersonCalcYr3!L41)*PersonCalcYr3!F41*M41</f>
        <v>0</v>
      </c>
      <c r="O41" s="197">
        <f>G41-((J41+L41)*M41)</f>
        <v>12</v>
      </c>
      <c r="P41" s="197">
        <f>IF(O41&lt;0,O41*0,1)*O41</f>
        <v>12</v>
      </c>
      <c r="Q41" s="198">
        <f>H41+(L41*M41)+(J41*M41)</f>
        <v>3</v>
      </c>
      <c r="R41" s="199" t="str">
        <f>VLOOKUP(Q41,'Lookup Tables'!$A$38:$B$151,2,FALSE)</f>
        <v>Sept</v>
      </c>
      <c r="S41" s="191">
        <f>VLOOKUP(R41,'Lookup Tables'!$A$22:$B$33,2,FALSE)</f>
        <v>3</v>
      </c>
      <c r="T41" s="599">
        <f>VLOOKUP($E$4,'Lookup Tables'!$AB$63:$AN$75,MATCH(PersonCalcYr3!$S41,'Lookup Tables'!$AB$63:$AN$63),FALSE)</f>
        <v>0.5161</v>
      </c>
      <c r="U41" s="200">
        <f>VLOOKUP(S41,'Lookup Tables'!$A$3:$AA$16,MATCH(PersonCalcYr3!$P41,'Lookup Tables'!$A$3:$AA$3),FALSE)</f>
        <v>1.5161</v>
      </c>
      <c r="V41" s="496">
        <f>9-T41</f>
        <v>8.4839000000000002</v>
      </c>
      <c r="W41" s="201">
        <f>P41-U41</f>
        <v>10.4839</v>
      </c>
      <c r="X41" s="195">
        <f>IF(V41&lt;=W41,V41,W41)</f>
        <v>8.4839000000000002</v>
      </c>
      <c r="Y41" s="195">
        <f>IF(12-T41-U41-X41&gt;=0,1,0)</f>
        <v>1</v>
      </c>
      <c r="Z41" s="202">
        <f>((('Rate Tables'!F9*$E41)*PersonCalcYr3!$X41)*$F41)*Y41</f>
        <v>0</v>
      </c>
      <c r="AA41" s="197">
        <f>O41-(((U41*U43)+X41)*Y41)</f>
        <v>2</v>
      </c>
      <c r="AB41" s="197">
        <f>IF(AA41&lt;0,AA41*0,1)*AA41</f>
        <v>2</v>
      </c>
      <c r="AC41" s="601">
        <f>S41+(X41*Y41)+((U41*U43)*Y41)</f>
        <v>13</v>
      </c>
      <c r="AD41" s="199" t="str">
        <f>VLOOKUP(AC41,'Lookup Tables'!$A$38:$B$151,2,FALSE)</f>
        <v>July</v>
      </c>
      <c r="AE41" s="191">
        <f>VLOOKUP(AD41,'Lookup Tables'!$A$22:$B$33,2,FALSE)</f>
        <v>1</v>
      </c>
      <c r="AF41" s="200">
        <f>VLOOKUP(AE41,'Lookup Tables'!$A$3:$AA$16,MATCH(PersonCalcYr3!AB41,'Lookup Tables'!$A$3:$AA$3),FALSE)</f>
        <v>1.4839</v>
      </c>
      <c r="AG41" s="178">
        <v>9</v>
      </c>
      <c r="AH41" s="201">
        <f>AB41-AF41</f>
        <v>0.5161</v>
      </c>
      <c r="AI41" s="195">
        <f>IF(AG41&lt;=AH41,AG41,AH41)</f>
        <v>0.5161</v>
      </c>
      <c r="AJ41" s="195">
        <f>IF((AG41+AF41)&lt;=0,0,1)</f>
        <v>1</v>
      </c>
      <c r="AK41" s="204">
        <f>((('Rate Tables'!G9*$E41)*PersonCalcYr3!AI41)*$F41)*AJ41</f>
        <v>0</v>
      </c>
      <c r="AL41" s="197">
        <f>AB41-AF41-AI41</f>
        <v>0</v>
      </c>
      <c r="AM41" s="197">
        <f>IF(AL41&lt;0,AL41*0,1)*AL41</f>
        <v>0</v>
      </c>
      <c r="AN41" s="601">
        <f>AE41+(AI41*AJ41)+((AF41*AF43)*AJ41)</f>
        <v>3</v>
      </c>
      <c r="AO41" s="199" t="str">
        <f>VLOOKUP(AN41,'Lookup Tables'!$A$38:$B$151,2,FALSE)</f>
        <v>Sept</v>
      </c>
      <c r="AP41" s="191">
        <f>VLOOKUP(AO41,'Lookup Tables'!$A$22:$B$33,2,FALSE)</f>
        <v>3</v>
      </c>
      <c r="AQ41" s="200">
        <f>VLOOKUP(AP41,'Lookup Tables'!$A$3:$AA$16,MATCH(PersonCalcYr3!AM41,'Lookup Tables'!$A$3:$AA$3),FALSE)</f>
        <v>0</v>
      </c>
      <c r="AR41" s="178">
        <v>9</v>
      </c>
      <c r="AS41" s="201">
        <f>AM41-AQ41</f>
        <v>0</v>
      </c>
      <c r="AT41" s="195">
        <f>IF(AR41&lt;=AS41,AR41,AS41)</f>
        <v>0</v>
      </c>
      <c r="AU41" s="195">
        <f>IF((AR41+AQ41)&lt;=0,0,1)</f>
        <v>1</v>
      </c>
      <c r="AV41" s="715">
        <f>((('Rate Tables'!H9*$E41)*PersonCalcYr3!AT41)*$F41)*AU41</f>
        <v>0</v>
      </c>
      <c r="AW41" s="197">
        <f>AM41-AQ41-AT41</f>
        <v>0</v>
      </c>
      <c r="AX41" s="197">
        <f>IF(AW41&lt;0,AW41*0,1)*AW41</f>
        <v>0</v>
      </c>
      <c r="AY41" s="601">
        <f>AP41+(AT41*AU41)+((AQ41*AQ43)*AU41)</f>
        <v>3</v>
      </c>
      <c r="AZ41" s="199" t="str">
        <f>VLOOKUP(AY41,'Lookup Tables'!$A$38:$B$151,2,FALSE)</f>
        <v>Sept</v>
      </c>
      <c r="BA41" s="191">
        <f>VLOOKUP(AZ41,'Lookup Tables'!$A$22:$B$33,2,FALSE)</f>
        <v>3</v>
      </c>
      <c r="BB41" s="200">
        <f>VLOOKUP(BA41,'Lookup Tables'!$A$3:$AA$16,MATCH(PersonCalcYr3!AX41,'Lookup Tables'!$A$3:$AA$3),FALSE)</f>
        <v>0</v>
      </c>
      <c r="BC41" s="178">
        <v>9</v>
      </c>
      <c r="BD41" s="201">
        <f>AX41-BB41</f>
        <v>0</v>
      </c>
      <c r="BE41" s="195">
        <f>IF(BC41&lt;=BD41,BC41,BD41)</f>
        <v>0</v>
      </c>
      <c r="BF41" s="195">
        <f>IF((BC41+BB41)&lt;=0,0,1)</f>
        <v>1</v>
      </c>
      <c r="BG41" s="715">
        <f>((('Rate Tables'!I9*$E41)*PersonCalcYr3!BE41)*$F41)*BF41</f>
        <v>0</v>
      </c>
      <c r="BH41" s="197">
        <f>AX41-BB41-BE41</f>
        <v>0</v>
      </c>
      <c r="BI41" s="197"/>
      <c r="BJ41" s="178"/>
      <c r="BK41" s="227"/>
      <c r="BL41" s="349"/>
      <c r="BM41" s="227"/>
      <c r="BN41" s="275"/>
      <c r="BO41" s="12"/>
    </row>
    <row r="42" spans="1:67" x14ac:dyDescent="0.25">
      <c r="A42" s="296"/>
      <c r="B42" s="116"/>
      <c r="C42" s="115"/>
      <c r="D42" s="178"/>
      <c r="E42" s="205"/>
      <c r="F42" s="190"/>
      <c r="G42" s="178" t="s">
        <v>430</v>
      </c>
      <c r="H42" s="178" t="str">
        <f>IF(B43="yes",$C$4,A54)</f>
        <v>Sept</v>
      </c>
      <c r="I42" s="178"/>
      <c r="J42" s="178"/>
      <c r="K42" s="178"/>
      <c r="L42" s="178"/>
      <c r="M42" s="206"/>
      <c r="N42" s="207"/>
      <c r="O42" s="208"/>
      <c r="P42" s="190"/>
      <c r="Q42" s="190"/>
      <c r="R42" s="190"/>
      <c r="S42" s="190"/>
      <c r="T42" s="190"/>
      <c r="U42" s="178"/>
      <c r="V42" s="201"/>
      <c r="W42" s="201"/>
      <c r="X42" s="178"/>
      <c r="Y42" s="206"/>
      <c r="Z42" s="207"/>
      <c r="AA42" s="208"/>
      <c r="AB42" s="202"/>
      <c r="AC42" s="202"/>
      <c r="AD42" s="202"/>
      <c r="AE42" s="202"/>
      <c r="AF42" s="203"/>
      <c r="AG42" s="201"/>
      <c r="AH42" s="201"/>
      <c r="AI42" s="178"/>
      <c r="AJ42" s="206"/>
      <c r="AK42" s="207"/>
      <c r="AL42" s="208"/>
      <c r="AM42" s="202"/>
      <c r="AN42" s="202"/>
      <c r="AO42" s="202"/>
      <c r="AP42" s="202"/>
      <c r="AQ42" s="203"/>
      <c r="AR42" s="201"/>
      <c r="AS42" s="201"/>
      <c r="AT42" s="178"/>
      <c r="AU42" s="206"/>
      <c r="AV42" s="207"/>
      <c r="AW42" s="208"/>
      <c r="AX42" s="208"/>
      <c r="AY42" s="208"/>
      <c r="AZ42" s="208"/>
      <c r="BA42" s="208"/>
      <c r="BB42" s="208"/>
      <c r="BC42" s="208"/>
      <c r="BD42" s="208"/>
      <c r="BE42" s="208"/>
      <c r="BF42" s="208"/>
      <c r="BG42" s="208"/>
      <c r="BH42" s="202"/>
      <c r="BI42" s="202"/>
      <c r="BJ42" s="178"/>
      <c r="BK42" s="307" t="s">
        <v>450</v>
      </c>
      <c r="BL42" s="349">
        <f>IF(B33=0,0,1)</f>
        <v>1</v>
      </c>
      <c r="BM42" s="227"/>
      <c r="BN42" s="275"/>
      <c r="BO42" s="12"/>
    </row>
    <row r="43" spans="1:67" x14ac:dyDescent="0.25">
      <c r="A43" s="37" t="s">
        <v>431</v>
      </c>
      <c r="B43" s="375" t="str">
        <f>Personnel!U15</f>
        <v>YES</v>
      </c>
      <c r="C43" s="115"/>
      <c r="D43" s="178"/>
      <c r="E43" s="205"/>
      <c r="F43" s="190"/>
      <c r="G43" s="818" t="s">
        <v>665</v>
      </c>
      <c r="H43" s="11">
        <f>IF(H44&lt;$C$5,H44,$C$5)</f>
        <v>12</v>
      </c>
      <c r="I43" s="178">
        <f>IF(B54&lt;=H44,B54,H44)</f>
        <v>0</v>
      </c>
      <c r="J43" s="178"/>
      <c r="K43" s="178"/>
      <c r="L43" s="178"/>
      <c r="M43" s="178"/>
      <c r="N43" s="178"/>
      <c r="O43" s="178"/>
      <c r="P43" s="190"/>
      <c r="Q43" s="190"/>
      <c r="R43" s="190"/>
      <c r="S43" s="190"/>
      <c r="T43" s="605" t="s">
        <v>573</v>
      </c>
      <c r="U43" s="606">
        <f>VLOOKUP($E$4,'Lookup Tables'!$L$79:$X$91,MATCH(PersonCalcYr3!$S35,'Lookup Tables'!$L$79:$X$79),FALSE)</f>
        <v>1</v>
      </c>
      <c r="V43" s="201"/>
      <c r="W43" s="201"/>
      <c r="X43" s="201"/>
      <c r="Y43" s="195"/>
      <c r="Z43" s="195"/>
      <c r="AA43" s="202"/>
      <c r="AB43" s="202"/>
      <c r="AC43" s="202"/>
      <c r="AD43" s="202"/>
      <c r="AE43" s="605" t="s">
        <v>573</v>
      </c>
      <c r="AF43" s="714">
        <v>1</v>
      </c>
      <c r="AG43" s="201"/>
      <c r="AH43" s="201"/>
      <c r="AI43" s="201"/>
      <c r="AJ43" s="201"/>
      <c r="AK43" s="202"/>
      <c r="AL43" s="202"/>
      <c r="AM43" s="202"/>
      <c r="AN43" s="202"/>
      <c r="AO43" s="202"/>
      <c r="AP43" s="605" t="s">
        <v>573</v>
      </c>
      <c r="AQ43" s="714">
        <v>1</v>
      </c>
      <c r="AR43" s="201"/>
      <c r="AS43" s="201"/>
      <c r="AT43" s="201"/>
      <c r="AU43" s="201"/>
      <c r="AV43" s="202"/>
      <c r="AW43" s="202"/>
      <c r="AX43" s="202"/>
      <c r="AY43" s="202"/>
      <c r="AZ43" s="202"/>
      <c r="BA43" s="202"/>
      <c r="BB43" s="202"/>
      <c r="BC43" s="202"/>
      <c r="BD43" s="202"/>
      <c r="BE43" s="202"/>
      <c r="BF43" s="202"/>
      <c r="BG43" s="202"/>
      <c r="BH43" s="202"/>
      <c r="BI43" s="202"/>
      <c r="BJ43" s="178"/>
      <c r="BK43" s="748" t="s">
        <v>411</v>
      </c>
      <c r="BL43" s="460">
        <f>Personnel!W16</f>
        <v>10</v>
      </c>
      <c r="BM43" s="276" t="s">
        <v>117</v>
      </c>
      <c r="BN43" s="277">
        <f>(N46+W46+AJ46+AU46+BF46+N48+W48+AJ48+AU48+BF48+N50+W50+AJ50+AU50+BF50+N52+W52+AJ52+AU52+BF52)*BL42</f>
        <v>0</v>
      </c>
      <c r="BO43" s="224"/>
    </row>
    <row r="44" spans="1:67" x14ac:dyDescent="0.25">
      <c r="A44" s="296" t="s">
        <v>439</v>
      </c>
      <c r="B44" s="114" t="s">
        <v>427</v>
      </c>
      <c r="C44" s="114"/>
      <c r="D44" s="178"/>
      <c r="E44" s="178"/>
      <c r="F44" s="178"/>
      <c r="G44" s="818" t="s">
        <v>555</v>
      </c>
      <c r="H44" s="175">
        <f>VLOOKUP($E$4,'Lookup Tables'!$L$46:$AA$58,MATCH($H$35,'Lookup Tables'!$L$46:$X$46),FALSE)</f>
        <v>12</v>
      </c>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227"/>
      <c r="BL44" s="12"/>
      <c r="BM44" s="278" t="s">
        <v>96</v>
      </c>
      <c r="BN44" s="279">
        <f>BN33+BN43</f>
        <v>0</v>
      </c>
      <c r="BO44" s="369"/>
    </row>
    <row r="45" spans="1:67" x14ac:dyDescent="0.25">
      <c r="A45" s="296"/>
      <c r="B45" s="116"/>
      <c r="C45" s="117" t="s">
        <v>30</v>
      </c>
      <c r="D45" s="178"/>
      <c r="E45" s="153" t="s">
        <v>84</v>
      </c>
      <c r="F45" s="153" t="s">
        <v>42</v>
      </c>
      <c r="G45" s="153" t="s">
        <v>41</v>
      </c>
      <c r="H45" s="183" t="s">
        <v>77</v>
      </c>
      <c r="I45" s="209" t="s">
        <v>101</v>
      </c>
      <c r="J45" s="210" t="s">
        <v>102</v>
      </c>
      <c r="K45" s="153" t="s">
        <v>98</v>
      </c>
      <c r="L45" s="153" t="s">
        <v>100</v>
      </c>
      <c r="M45" s="153" t="s">
        <v>82</v>
      </c>
      <c r="N45" s="153" t="s">
        <v>31</v>
      </c>
      <c r="O45" s="153" t="s">
        <v>69</v>
      </c>
      <c r="P45" s="153" t="s">
        <v>72</v>
      </c>
      <c r="Q45" s="153" t="s">
        <v>103</v>
      </c>
      <c r="R45" s="183" t="s">
        <v>77</v>
      </c>
      <c r="S45" s="209" t="s">
        <v>101</v>
      </c>
      <c r="T45" s="210" t="s">
        <v>102</v>
      </c>
      <c r="U45" s="178" t="s">
        <v>98</v>
      </c>
      <c r="V45" s="153" t="s">
        <v>100</v>
      </c>
      <c r="W45" s="153" t="s">
        <v>32</v>
      </c>
      <c r="X45" s="153" t="s">
        <v>69</v>
      </c>
      <c r="Y45" s="153"/>
      <c r="Z45" s="153"/>
      <c r="AA45" s="178"/>
      <c r="AB45" s="153" t="s">
        <v>72</v>
      </c>
      <c r="AC45" s="153" t="s">
        <v>103</v>
      </c>
      <c r="AD45" s="153"/>
      <c r="AE45" s="183" t="s">
        <v>77</v>
      </c>
      <c r="AF45" s="209" t="s">
        <v>101</v>
      </c>
      <c r="AG45" s="210" t="s">
        <v>102</v>
      </c>
      <c r="AH45" s="178" t="s">
        <v>98</v>
      </c>
      <c r="AI45" s="153" t="s">
        <v>100</v>
      </c>
      <c r="AJ45" s="153" t="s">
        <v>33</v>
      </c>
      <c r="AK45" s="153" t="s">
        <v>69</v>
      </c>
      <c r="AL45" s="178"/>
      <c r="AM45" s="153" t="s">
        <v>72</v>
      </c>
      <c r="AN45" s="153" t="s">
        <v>103</v>
      </c>
      <c r="AO45" s="153"/>
      <c r="AP45" s="183" t="s">
        <v>77</v>
      </c>
      <c r="AQ45" s="209" t="s">
        <v>101</v>
      </c>
      <c r="AR45" s="210" t="s">
        <v>102</v>
      </c>
      <c r="AS45" s="178" t="s">
        <v>98</v>
      </c>
      <c r="AT45" s="153" t="s">
        <v>100</v>
      </c>
      <c r="AU45" s="153" t="s">
        <v>33</v>
      </c>
      <c r="AV45" s="153" t="s">
        <v>69</v>
      </c>
      <c r="AW45" s="178"/>
      <c r="AX45" s="153" t="s">
        <v>72</v>
      </c>
      <c r="AY45" s="153" t="s">
        <v>103</v>
      </c>
      <c r="AZ45" s="153"/>
      <c r="BA45" s="183" t="s">
        <v>77</v>
      </c>
      <c r="BB45" s="209" t="s">
        <v>101</v>
      </c>
      <c r="BC45" s="210" t="s">
        <v>102</v>
      </c>
      <c r="BD45" s="178" t="s">
        <v>98</v>
      </c>
      <c r="BE45" s="153" t="s">
        <v>100</v>
      </c>
      <c r="BF45" s="153" t="s">
        <v>33</v>
      </c>
      <c r="BG45" s="153" t="s">
        <v>69</v>
      </c>
      <c r="BH45" s="153"/>
      <c r="BI45" s="153"/>
      <c r="BJ45" s="178"/>
      <c r="BK45" s="276" t="s">
        <v>95</v>
      </c>
      <c r="BL45" s="12"/>
      <c r="BM45" s="227"/>
      <c r="BN45" s="275"/>
      <c r="BO45" s="12"/>
    </row>
    <row r="46" spans="1:67" x14ac:dyDescent="0.25">
      <c r="A46" s="296"/>
      <c r="B46" s="116"/>
      <c r="C46" s="115"/>
      <c r="D46" s="178"/>
      <c r="E46" s="211">
        <f>IF(H53&lt;=H54,H53,H54)</f>
        <v>10</v>
      </c>
      <c r="F46" s="190">
        <f>IF($D$4=2022,1,0)</f>
        <v>0</v>
      </c>
      <c r="G46" s="178">
        <f>IF($B43="Yes",$C$5,$I43)</f>
        <v>12</v>
      </c>
      <c r="H46" s="492">
        <f>H35</f>
        <v>3</v>
      </c>
      <c r="I46" s="212">
        <f>VLOOKUP(J35,'Lookup Tables'!$AB$22:$AC$31,2,FALSE)</f>
        <v>32</v>
      </c>
      <c r="J46" s="213">
        <f>VLOOKUP(U35,'Lookup Tables'!$AB$32:$AC$41,2,FALSE)</f>
        <v>33</v>
      </c>
      <c r="K46" s="203">
        <f>E46-J46</f>
        <v>-23</v>
      </c>
      <c r="L46" s="178">
        <f>IF(K46&gt;0,1,0)</f>
        <v>0</v>
      </c>
      <c r="M46" s="195">
        <f>M35</f>
        <v>0</v>
      </c>
      <c r="N46" s="196">
        <f>((((('Rate Tables'!B9*9)*0.02778)/5)*K46)*L46)*F46*M46</f>
        <v>0</v>
      </c>
      <c r="O46" s="197">
        <f>O35</f>
        <v>12</v>
      </c>
      <c r="P46" s="197">
        <f>IF(O46&lt;0,O46*0,1)*O46</f>
        <v>12</v>
      </c>
      <c r="Q46" s="203">
        <f>(E46-K46*F46*L46*M46)</f>
        <v>10</v>
      </c>
      <c r="R46" s="191">
        <f>S35</f>
        <v>3</v>
      </c>
      <c r="S46" s="212">
        <f>VLOOKUP(U35,'Lookup Tables'!$AB$22:$AC$31,2,FALSE)</f>
        <v>32</v>
      </c>
      <c r="T46" s="213">
        <f>VLOOKUP(AF35,'Lookup Tables'!$AB$32:$AC$41,2,FALSE)</f>
        <v>33</v>
      </c>
      <c r="U46" s="206">
        <f>Q46-T46</f>
        <v>-23</v>
      </c>
      <c r="V46" s="178">
        <f>IF(U46&gt;0,1,0)</f>
        <v>0</v>
      </c>
      <c r="W46" s="196">
        <f>((('Rate Tables'!C9*9)*0.02778)/5)*U46*F46*V46</f>
        <v>0</v>
      </c>
      <c r="X46" s="197">
        <f>AA35</f>
        <v>2</v>
      </c>
      <c r="Y46" s="178"/>
      <c r="Z46" s="195"/>
      <c r="AA46" s="178"/>
      <c r="AB46" s="197">
        <f>IF(X46&lt;0,X46*0,1)*X46</f>
        <v>2</v>
      </c>
      <c r="AC46" s="203">
        <f>Q46-(U46*V46)</f>
        <v>10</v>
      </c>
      <c r="AD46" s="178"/>
      <c r="AE46" s="191">
        <f>AE35</f>
        <v>1</v>
      </c>
      <c r="AF46" s="212">
        <f>VLOOKUP(AF35,'Lookup Tables'!$AB$22:$AC$31,2,FALSE)</f>
        <v>32</v>
      </c>
      <c r="AG46" s="213">
        <f>VLOOKUP(AQ35,'Lookup Tables'!$AB$32:$AC$41,2,FALSE)</f>
        <v>0</v>
      </c>
      <c r="AH46" s="208">
        <f>AC46-AG46</f>
        <v>10</v>
      </c>
      <c r="AI46" s="178">
        <f>IF(AH46&gt;0,1,0)</f>
        <v>1</v>
      </c>
      <c r="AJ46" s="196">
        <f>((('Rate Tables'!D9*9)*0.02778)/5)*AH46*AI46*F46</f>
        <v>0</v>
      </c>
      <c r="AK46" s="197">
        <f>AL35</f>
        <v>0</v>
      </c>
      <c r="AL46" s="178"/>
      <c r="AM46" s="197">
        <f>IF(AK46&lt;0,AK46*0,1)*AK46</f>
        <v>0</v>
      </c>
      <c r="AN46" s="203">
        <f>AC46-(AH46*AI46)</f>
        <v>0</v>
      </c>
      <c r="AO46" s="178"/>
      <c r="AP46" s="191">
        <f>AP35</f>
        <v>3</v>
      </c>
      <c r="AQ46" s="212">
        <f>VLOOKUP(AQ35,'Lookup Tables'!$AB$22:$AC$31,2,FALSE)</f>
        <v>0</v>
      </c>
      <c r="AR46" s="213">
        <f>VLOOKUP(BB35,'Lookup Tables'!$AB$32:$AC$41,2,FALSE)</f>
        <v>0</v>
      </c>
      <c r="AS46" s="208">
        <f>AN46-AR46</f>
        <v>0</v>
      </c>
      <c r="AT46" s="178">
        <f>IF(AS46&gt;0,1,0)</f>
        <v>0</v>
      </c>
      <c r="AU46" s="196">
        <f>((('Rate Tables'!E9*9)*0.02778)/5)*AS46*AT46*F46</f>
        <v>0</v>
      </c>
      <c r="AV46" s="197">
        <f>AW35</f>
        <v>0</v>
      </c>
      <c r="AW46" s="178"/>
      <c r="AX46" s="197">
        <f>IF(AV46&lt;0,AV46*0,1)*AV46</f>
        <v>0</v>
      </c>
      <c r="AY46" s="203">
        <f>AN46-(AS46*AT46)</f>
        <v>0</v>
      </c>
      <c r="AZ46" s="178"/>
      <c r="BA46" s="191">
        <f>BA35</f>
        <v>3</v>
      </c>
      <c r="BB46" s="212">
        <f>VLOOKUP(BB35,'Lookup Tables'!$AB$22:$AC$31,2,FALSE)</f>
        <v>0</v>
      </c>
      <c r="BC46" s="213">
        <v>0</v>
      </c>
      <c r="BD46" s="208">
        <f>AY46-BC46</f>
        <v>0</v>
      </c>
      <c r="BE46" s="178">
        <f>IF(BD46&gt;0,1,0)</f>
        <v>0</v>
      </c>
      <c r="BF46" s="196">
        <f>((('Rate Tables'!F9*9)*0.02778)/5)*BD46*BE46*F46</f>
        <v>0</v>
      </c>
      <c r="BG46" s="197">
        <f>BH35</f>
        <v>0</v>
      </c>
      <c r="BH46" s="197"/>
      <c r="BI46" s="197"/>
      <c r="BJ46" s="178"/>
      <c r="BK46" s="716">
        <f>BL43</f>
        <v>10</v>
      </c>
      <c r="BL46" s="225"/>
      <c r="BM46" s="227"/>
      <c r="BN46" s="275"/>
      <c r="BO46" s="12" t="s">
        <v>418</v>
      </c>
    </row>
    <row r="47" spans="1:67" x14ac:dyDescent="0.25">
      <c r="A47" s="296"/>
      <c r="B47" s="116"/>
      <c r="C47" s="117" t="s">
        <v>597</v>
      </c>
      <c r="D47" s="178"/>
      <c r="E47" s="153" t="s">
        <v>84</v>
      </c>
      <c r="F47" s="153" t="s">
        <v>42</v>
      </c>
      <c r="G47" s="153" t="s">
        <v>41</v>
      </c>
      <c r="H47" s="183" t="s">
        <v>77</v>
      </c>
      <c r="I47" s="209" t="s">
        <v>105</v>
      </c>
      <c r="J47" s="210" t="s">
        <v>106</v>
      </c>
      <c r="K47" s="153" t="s">
        <v>99</v>
      </c>
      <c r="L47" s="153" t="s">
        <v>100</v>
      </c>
      <c r="M47" s="153" t="s">
        <v>82</v>
      </c>
      <c r="N47" s="153" t="s">
        <v>32</v>
      </c>
      <c r="O47" s="153" t="s">
        <v>69</v>
      </c>
      <c r="P47" s="153" t="s">
        <v>72</v>
      </c>
      <c r="Q47" s="153" t="s">
        <v>103</v>
      </c>
      <c r="R47" s="183" t="s">
        <v>77</v>
      </c>
      <c r="S47" s="209" t="s">
        <v>105</v>
      </c>
      <c r="T47" s="210" t="s">
        <v>106</v>
      </c>
      <c r="U47" s="178" t="s">
        <v>98</v>
      </c>
      <c r="V47" s="153" t="s">
        <v>100</v>
      </c>
      <c r="W47" s="153" t="s">
        <v>33</v>
      </c>
      <c r="X47" s="153" t="s">
        <v>69</v>
      </c>
      <c r="Y47" s="153"/>
      <c r="Z47" s="153"/>
      <c r="AA47" s="178"/>
      <c r="AB47" s="153" t="s">
        <v>72</v>
      </c>
      <c r="AC47" s="153" t="s">
        <v>104</v>
      </c>
      <c r="AD47" s="153"/>
      <c r="AE47" s="183" t="s">
        <v>77</v>
      </c>
      <c r="AF47" s="209" t="s">
        <v>105</v>
      </c>
      <c r="AG47" s="210" t="s">
        <v>106</v>
      </c>
      <c r="AH47" s="178" t="s">
        <v>98</v>
      </c>
      <c r="AI47" s="153" t="s">
        <v>100</v>
      </c>
      <c r="AJ47" s="153" t="s">
        <v>34</v>
      </c>
      <c r="AK47" s="153" t="s">
        <v>69</v>
      </c>
      <c r="AL47" s="178"/>
      <c r="AM47" s="153" t="s">
        <v>72</v>
      </c>
      <c r="AN47" s="153" t="s">
        <v>104</v>
      </c>
      <c r="AO47" s="153"/>
      <c r="AP47" s="183" t="s">
        <v>77</v>
      </c>
      <c r="AQ47" s="209" t="s">
        <v>105</v>
      </c>
      <c r="AR47" s="210" t="s">
        <v>106</v>
      </c>
      <c r="AS47" s="178" t="s">
        <v>98</v>
      </c>
      <c r="AT47" s="153" t="s">
        <v>100</v>
      </c>
      <c r="AU47" s="153" t="s">
        <v>34</v>
      </c>
      <c r="AV47" s="153" t="s">
        <v>69</v>
      </c>
      <c r="AW47" s="178"/>
      <c r="AX47" s="153" t="s">
        <v>72</v>
      </c>
      <c r="AY47" s="153" t="s">
        <v>104</v>
      </c>
      <c r="AZ47" s="153"/>
      <c r="BA47" s="183" t="s">
        <v>77</v>
      </c>
      <c r="BB47" s="209" t="s">
        <v>105</v>
      </c>
      <c r="BC47" s="210" t="s">
        <v>106</v>
      </c>
      <c r="BD47" s="178" t="s">
        <v>98</v>
      </c>
      <c r="BE47" s="153" t="s">
        <v>100</v>
      </c>
      <c r="BF47" s="153" t="s">
        <v>34</v>
      </c>
      <c r="BG47" s="153" t="s">
        <v>69</v>
      </c>
      <c r="BH47" s="178"/>
      <c r="BI47" s="178"/>
      <c r="BJ47" s="178"/>
      <c r="BK47" s="227"/>
      <c r="BL47" s="224"/>
      <c r="BM47" s="227" t="s">
        <v>451</v>
      </c>
      <c r="BN47" s="275">
        <f>(VLOOKUP($B33,'Rate Tables'!$O$2:$P$8,2,FALSE))</f>
        <v>0.2697</v>
      </c>
      <c r="BO47" s="372">
        <f>VLOOKUP('F&amp;ARatesCalc'!$B$1,'F&amp;ARatesCalc'!$A$3:$B$5,2,FALSE)</f>
        <v>0.56999999999999995</v>
      </c>
    </row>
    <row r="48" spans="1:67" x14ac:dyDescent="0.25">
      <c r="A48" s="296"/>
      <c r="B48" s="116"/>
      <c r="C48" s="115"/>
      <c r="D48" s="178"/>
      <c r="E48" s="211">
        <f>E46</f>
        <v>10</v>
      </c>
      <c r="F48" s="190">
        <f>IF($D$4=2023,1,0)</f>
        <v>0</v>
      </c>
      <c r="G48" s="178">
        <f>IF($B43="Yes",$C$5,$I43)</f>
        <v>12</v>
      </c>
      <c r="H48" s="191">
        <f>H37</f>
        <v>3</v>
      </c>
      <c r="I48" s="212">
        <f>VLOOKUP(J37,'Lookup Tables'!$AB$22:$AC$31,2,FALSE)</f>
        <v>32</v>
      </c>
      <c r="J48" s="213">
        <f>VLOOKUP(U37,'Lookup Tables'!$AB$32:$AC$41,2,FALSE)</f>
        <v>33</v>
      </c>
      <c r="K48" s="203">
        <f>E48-J48</f>
        <v>-23</v>
      </c>
      <c r="L48" s="178">
        <f>IF(K48&gt;0,1,0)</f>
        <v>0</v>
      </c>
      <c r="M48" s="195">
        <f>M37</f>
        <v>0</v>
      </c>
      <c r="N48" s="196">
        <f>((((('Rate Tables'!C9*9)*0.02778)/5)*K48)*L48)*F48*M48</f>
        <v>0</v>
      </c>
      <c r="O48" s="197">
        <f>O37</f>
        <v>12</v>
      </c>
      <c r="P48" s="197">
        <f>IF(O48&lt;0,O48*0,1)*O48</f>
        <v>12</v>
      </c>
      <c r="Q48" s="203">
        <f>(E48-K48*F48*L48*M48)</f>
        <v>10</v>
      </c>
      <c r="R48" s="191">
        <f>S37</f>
        <v>3</v>
      </c>
      <c r="S48" s="212">
        <f>VLOOKUP(U37,'Lookup Tables'!$AB$22:$AC$31,2,FALSE)</f>
        <v>32</v>
      </c>
      <c r="T48" s="213">
        <f>VLOOKUP(AF37,'Lookup Tables'!$AB$32:$AC$41,2,FALSE)</f>
        <v>33</v>
      </c>
      <c r="U48" s="206">
        <f>Q48-T48</f>
        <v>-23</v>
      </c>
      <c r="V48" s="178">
        <f>IF(U48&gt;0,1,0)</f>
        <v>0</v>
      </c>
      <c r="W48" s="196">
        <f>((('Rate Tables'!D9*9)*0.02778)/5)*U48*F48*V48</f>
        <v>0</v>
      </c>
      <c r="X48" s="197">
        <f>AA37</f>
        <v>2</v>
      </c>
      <c r="Y48" s="178"/>
      <c r="Z48" s="195"/>
      <c r="AA48" s="178"/>
      <c r="AB48" s="197">
        <f>IF(X48&lt;0,X48*0,1)*X48</f>
        <v>2</v>
      </c>
      <c r="AC48" s="203">
        <f>Q48-(U48*V48)</f>
        <v>10</v>
      </c>
      <c r="AD48" s="178"/>
      <c r="AE48" s="191">
        <f>AE37</f>
        <v>1</v>
      </c>
      <c r="AF48" s="212">
        <f>VLOOKUP(AF37,'Lookup Tables'!$AB$22:$AC$31,2,FALSE)</f>
        <v>32</v>
      </c>
      <c r="AG48" s="213">
        <f>VLOOKUP(AQ37,'Lookup Tables'!$AB$32:$AC$41,2,FALSE)</f>
        <v>0</v>
      </c>
      <c r="AH48" s="208">
        <f>AC48-AG48</f>
        <v>10</v>
      </c>
      <c r="AI48" s="178">
        <f>IF(AH48&gt;0,1,0)</f>
        <v>1</v>
      </c>
      <c r="AJ48" s="196">
        <f>((('Rate Tables'!E9*9)*0.02778)/5)*AH48*AI48*F48</f>
        <v>0</v>
      </c>
      <c r="AK48" s="197">
        <f>AL37</f>
        <v>0</v>
      </c>
      <c r="AL48" s="178"/>
      <c r="AM48" s="197">
        <f>IF(AK48&lt;0,AK48*0,1)*AK48</f>
        <v>0</v>
      </c>
      <c r="AN48" s="203">
        <f>AC48-(AH48*AI48)</f>
        <v>0</v>
      </c>
      <c r="AO48" s="178"/>
      <c r="AP48" s="191">
        <f>AP37</f>
        <v>3</v>
      </c>
      <c r="AQ48" s="212">
        <f>VLOOKUP(AQ37,'Lookup Tables'!$AB$22:$AC$31,2,FALSE)</f>
        <v>0</v>
      </c>
      <c r="AR48" s="213">
        <f>VLOOKUP(BB37,'Lookup Tables'!$AB$32:$AC$41,2,FALSE)</f>
        <v>0</v>
      </c>
      <c r="AS48" s="208">
        <f>AN48-AR48</f>
        <v>0</v>
      </c>
      <c r="AT48" s="178">
        <f>IF(AS48&gt;0,1,0)</f>
        <v>0</v>
      </c>
      <c r="AU48" s="196">
        <f>((('Rate Tables'!F9*9)*0.02778)/5)*AS48*AT48*F48</f>
        <v>0</v>
      </c>
      <c r="AV48" s="197">
        <f>AW37</f>
        <v>0</v>
      </c>
      <c r="AW48" s="178"/>
      <c r="AX48" s="197">
        <f>IF(AV48&lt;0,AV48*0,1)*AV48</f>
        <v>0</v>
      </c>
      <c r="AY48" s="203">
        <f>AN48-(AS48*AT48)</f>
        <v>0</v>
      </c>
      <c r="AZ48" s="178"/>
      <c r="BA48" s="191">
        <f>BA37</f>
        <v>3</v>
      </c>
      <c r="BB48" s="212">
        <f>VLOOKUP(BB37,'Lookup Tables'!$AB$22:$AC$31,2,FALSE)</f>
        <v>0</v>
      </c>
      <c r="BC48" s="213">
        <v>0</v>
      </c>
      <c r="BD48" s="208">
        <f>AY48-BC48</f>
        <v>0</v>
      </c>
      <c r="BE48" s="178">
        <f>IF(BD48&gt;0,1,0)</f>
        <v>0</v>
      </c>
      <c r="BF48" s="196">
        <f>((('Rate Tables'!G9*9)*0.02778)/5)*BD48*BE48*F48</f>
        <v>0</v>
      </c>
      <c r="BG48" s="197">
        <f>BH37</f>
        <v>0</v>
      </c>
      <c r="BH48" s="178"/>
      <c r="BI48" s="178"/>
      <c r="BJ48" s="178"/>
      <c r="BK48" s="227"/>
      <c r="BL48" s="12"/>
      <c r="BM48" s="227" t="s">
        <v>452</v>
      </c>
      <c r="BN48" s="275">
        <f>_xlfn.IFNA(BN47,0)</f>
        <v>0.2697</v>
      </c>
      <c r="BO48" s="12" t="s">
        <v>417</v>
      </c>
    </row>
    <row r="49" spans="1:67" x14ac:dyDescent="0.25">
      <c r="A49" s="296"/>
      <c r="B49" s="116"/>
      <c r="C49" s="117" t="s">
        <v>664</v>
      </c>
      <c r="D49" s="178"/>
      <c r="E49" s="153" t="s">
        <v>84</v>
      </c>
      <c r="F49" s="153" t="s">
        <v>42</v>
      </c>
      <c r="G49" s="153" t="s">
        <v>41</v>
      </c>
      <c r="H49" s="183" t="s">
        <v>77</v>
      </c>
      <c r="I49" s="209" t="s">
        <v>105</v>
      </c>
      <c r="J49" s="210" t="s">
        <v>106</v>
      </c>
      <c r="K49" s="153" t="s">
        <v>99</v>
      </c>
      <c r="L49" s="153" t="s">
        <v>100</v>
      </c>
      <c r="M49" s="153" t="s">
        <v>82</v>
      </c>
      <c r="N49" s="153" t="s">
        <v>32</v>
      </c>
      <c r="O49" s="153" t="s">
        <v>69</v>
      </c>
      <c r="P49" s="153" t="s">
        <v>72</v>
      </c>
      <c r="Q49" s="153" t="s">
        <v>103</v>
      </c>
      <c r="R49" s="183" t="s">
        <v>77</v>
      </c>
      <c r="S49" s="209" t="s">
        <v>105</v>
      </c>
      <c r="T49" s="210" t="s">
        <v>106</v>
      </c>
      <c r="U49" s="178" t="s">
        <v>98</v>
      </c>
      <c r="V49" s="153" t="s">
        <v>100</v>
      </c>
      <c r="W49" s="153" t="s">
        <v>33</v>
      </c>
      <c r="X49" s="153" t="s">
        <v>69</v>
      </c>
      <c r="Y49" s="153"/>
      <c r="Z49" s="153"/>
      <c r="AA49" s="178"/>
      <c r="AB49" s="153" t="s">
        <v>72</v>
      </c>
      <c r="AC49" s="153" t="s">
        <v>104</v>
      </c>
      <c r="AD49" s="153"/>
      <c r="AE49" s="183" t="s">
        <v>77</v>
      </c>
      <c r="AF49" s="209" t="s">
        <v>105</v>
      </c>
      <c r="AG49" s="210" t="s">
        <v>106</v>
      </c>
      <c r="AH49" s="178" t="s">
        <v>98</v>
      </c>
      <c r="AI49" s="153" t="s">
        <v>100</v>
      </c>
      <c r="AJ49" s="153" t="s">
        <v>34</v>
      </c>
      <c r="AK49" s="153" t="s">
        <v>69</v>
      </c>
      <c r="AL49" s="178"/>
      <c r="AM49" s="153" t="s">
        <v>72</v>
      </c>
      <c r="AN49" s="153" t="s">
        <v>104</v>
      </c>
      <c r="AO49" s="153"/>
      <c r="AP49" s="183" t="s">
        <v>77</v>
      </c>
      <c r="AQ49" s="209" t="s">
        <v>105</v>
      </c>
      <c r="AR49" s="210" t="s">
        <v>106</v>
      </c>
      <c r="AS49" s="178" t="s">
        <v>98</v>
      </c>
      <c r="AT49" s="153" t="s">
        <v>100</v>
      </c>
      <c r="AU49" s="153" t="s">
        <v>34</v>
      </c>
      <c r="AV49" s="153" t="s">
        <v>69</v>
      </c>
      <c r="AW49" s="178"/>
      <c r="AX49" s="153" t="s">
        <v>72</v>
      </c>
      <c r="AY49" s="153" t="s">
        <v>104</v>
      </c>
      <c r="AZ49" s="153"/>
      <c r="BA49" s="183" t="s">
        <v>77</v>
      </c>
      <c r="BB49" s="209" t="s">
        <v>105</v>
      </c>
      <c r="BC49" s="210" t="s">
        <v>106</v>
      </c>
      <c r="BD49" s="178" t="s">
        <v>98</v>
      </c>
      <c r="BE49" s="153" t="s">
        <v>100</v>
      </c>
      <c r="BF49" s="153" t="s">
        <v>34</v>
      </c>
      <c r="BG49" s="153" t="s">
        <v>69</v>
      </c>
      <c r="BH49" s="178"/>
      <c r="BI49" s="178"/>
      <c r="BJ49" s="178"/>
      <c r="BK49" s="227"/>
      <c r="BL49" s="12"/>
      <c r="BM49" s="227"/>
      <c r="BN49" s="275"/>
      <c r="BO49" s="12"/>
    </row>
    <row r="50" spans="1:67" x14ac:dyDescent="0.25">
      <c r="A50" s="296"/>
      <c r="B50" s="116"/>
      <c r="C50" s="115"/>
      <c r="D50" s="178"/>
      <c r="E50" s="211">
        <f>E48</f>
        <v>10</v>
      </c>
      <c r="F50" s="190">
        <f>IF($D$4=2024,1,0)</f>
        <v>1</v>
      </c>
      <c r="G50" s="178">
        <f>IF($B43="Yes",$C$5,$I43)</f>
        <v>12</v>
      </c>
      <c r="H50" s="191">
        <f>H39</f>
        <v>3</v>
      </c>
      <c r="I50" s="212">
        <f>VLOOKUP(J39,'Lookup Tables'!$AB$22:$AC$31,2,FALSE)</f>
        <v>32</v>
      </c>
      <c r="J50" s="213">
        <f>VLOOKUP(U39,'Lookup Tables'!$AB$32:$AC$41,2,FALSE)</f>
        <v>33</v>
      </c>
      <c r="K50" s="203">
        <f>E50-J50</f>
        <v>-23</v>
      </c>
      <c r="L50" s="178">
        <f>IF(K50&gt;0,1,0)</f>
        <v>0</v>
      </c>
      <c r="M50" s="195">
        <f>M39</f>
        <v>0</v>
      </c>
      <c r="N50" s="196">
        <f>((((('Rate Tables'!D9*9)*0.02778)/5)*K50)*L50)*F50*M50</f>
        <v>0</v>
      </c>
      <c r="O50" s="197">
        <f>O39</f>
        <v>12</v>
      </c>
      <c r="P50" s="197">
        <f>IF(O50&lt;0,O50*0,1)*O50</f>
        <v>12</v>
      </c>
      <c r="Q50" s="203">
        <f>(E50-K50*F50*L50*M50)</f>
        <v>10</v>
      </c>
      <c r="R50" s="191">
        <f>S39</f>
        <v>3</v>
      </c>
      <c r="S50" s="212">
        <f>VLOOKUP(U39,'Lookup Tables'!$AB$22:$AC$31,2,FALSE)</f>
        <v>32</v>
      </c>
      <c r="T50" s="213">
        <f>VLOOKUP(AF39,'Lookup Tables'!$AB$32:$AC$41,2,FALSE)</f>
        <v>33</v>
      </c>
      <c r="U50" s="206">
        <f>Q50-T50</f>
        <v>-23</v>
      </c>
      <c r="V50" s="178">
        <f>IF(U50&gt;0,1,0)</f>
        <v>0</v>
      </c>
      <c r="W50" s="196">
        <f>((('Rate Tables'!E9*9)*0.02778)/5)*U50*F50*V50</f>
        <v>0</v>
      </c>
      <c r="X50" s="197">
        <f>AA39</f>
        <v>2</v>
      </c>
      <c r="Y50" s="178"/>
      <c r="Z50" s="195"/>
      <c r="AA50" s="178"/>
      <c r="AB50" s="197">
        <f>IF(X50&lt;0,X50*0,1)*X50</f>
        <v>2</v>
      </c>
      <c r="AC50" s="203">
        <f>Q50-(U50*V50)</f>
        <v>10</v>
      </c>
      <c r="AD50" s="178"/>
      <c r="AE50" s="191">
        <f>AE39</f>
        <v>1</v>
      </c>
      <c r="AF50" s="212">
        <f>VLOOKUP(AF39,'Lookup Tables'!$AB$22:$AC$31,2,FALSE)</f>
        <v>32</v>
      </c>
      <c r="AG50" s="213">
        <f>VLOOKUP(AQ39,'Lookup Tables'!$AB$32:$AC$41,2,FALSE)</f>
        <v>0</v>
      </c>
      <c r="AH50" s="208">
        <f>AC50-AG50</f>
        <v>10</v>
      </c>
      <c r="AI50" s="178">
        <f>IF(AH50&gt;0,1,0)</f>
        <v>1</v>
      </c>
      <c r="AJ50" s="196">
        <f>((('Rate Tables'!F9*9)*0.02778)/5)*AH50*AI50*F50</f>
        <v>0</v>
      </c>
      <c r="AK50" s="197">
        <f>AL39</f>
        <v>0</v>
      </c>
      <c r="AL50" s="178"/>
      <c r="AM50" s="197">
        <f>IF(AK50&lt;0,AK50*0,1)*AK50</f>
        <v>0</v>
      </c>
      <c r="AN50" s="203">
        <f>AC50-(AH50*AI50)</f>
        <v>0</v>
      </c>
      <c r="AO50" s="178"/>
      <c r="AP50" s="191">
        <f>AP39</f>
        <v>3</v>
      </c>
      <c r="AQ50" s="212">
        <f>VLOOKUP(AQ39,'Lookup Tables'!$AB$22:$AC$31,2,FALSE)</f>
        <v>0</v>
      </c>
      <c r="AR50" s="213">
        <f>VLOOKUP(BB39,'Lookup Tables'!$AB$32:$AC$41,2,FALSE)</f>
        <v>0</v>
      </c>
      <c r="AS50" s="208">
        <f>AN50-AR50</f>
        <v>0</v>
      </c>
      <c r="AT50" s="178">
        <f>IF(AS50&gt;0,1,0)</f>
        <v>0</v>
      </c>
      <c r="AU50" s="196">
        <f>((('Rate Tables'!G9*9)*0.02778)/5)*AS50*AT50*F50</f>
        <v>0</v>
      </c>
      <c r="AV50" s="197">
        <f>AW39</f>
        <v>0</v>
      </c>
      <c r="AW50" s="178"/>
      <c r="AX50" s="197">
        <f>IF(AV50&lt;0,AV50*0,1)*AV50</f>
        <v>0</v>
      </c>
      <c r="AY50" s="203">
        <f>AN50-(AS50*AT50)</f>
        <v>0</v>
      </c>
      <c r="AZ50" s="178"/>
      <c r="BA50" s="191">
        <f>BA39</f>
        <v>3</v>
      </c>
      <c r="BB50" s="212">
        <f>VLOOKUP(BB39,'Lookup Tables'!$AB$22:$AC$31,2,FALSE)</f>
        <v>0</v>
      </c>
      <c r="BC50" s="213">
        <v>0</v>
      </c>
      <c r="BD50" s="208">
        <f>AY50-BC50</f>
        <v>0</v>
      </c>
      <c r="BE50" s="178">
        <f>IF(BD50&gt;0,1,0)</f>
        <v>0</v>
      </c>
      <c r="BF50" s="196">
        <f>((('Rate Tables'!H9*9)*0.02778)/5)*BD50*BE50*F50</f>
        <v>0</v>
      </c>
      <c r="BG50" s="197">
        <f>BH39</f>
        <v>0</v>
      </c>
      <c r="BH50" s="178"/>
      <c r="BI50" s="178"/>
      <c r="BJ50" s="178"/>
      <c r="BK50" s="227"/>
      <c r="BL50" s="12"/>
      <c r="BM50" s="227"/>
      <c r="BN50" s="275"/>
      <c r="BO50" s="12"/>
    </row>
    <row r="51" spans="1:67" x14ac:dyDescent="0.25">
      <c r="A51" s="296"/>
      <c r="B51" s="116"/>
      <c r="C51" s="819" t="s">
        <v>732</v>
      </c>
      <c r="D51" s="178"/>
      <c r="E51" s="153" t="s">
        <v>84</v>
      </c>
      <c r="F51" s="153" t="s">
        <v>42</v>
      </c>
      <c r="G51" s="153" t="s">
        <v>41</v>
      </c>
      <c r="H51" s="183" t="s">
        <v>77</v>
      </c>
      <c r="I51" s="209" t="s">
        <v>105</v>
      </c>
      <c r="J51" s="210" t="s">
        <v>106</v>
      </c>
      <c r="K51" s="153" t="s">
        <v>99</v>
      </c>
      <c r="L51" s="153" t="s">
        <v>100</v>
      </c>
      <c r="M51" s="153" t="s">
        <v>82</v>
      </c>
      <c r="N51" s="153" t="s">
        <v>32</v>
      </c>
      <c r="O51" s="153" t="s">
        <v>69</v>
      </c>
      <c r="P51" s="153" t="s">
        <v>72</v>
      </c>
      <c r="Q51" s="153" t="s">
        <v>103</v>
      </c>
      <c r="R51" s="183" t="s">
        <v>77</v>
      </c>
      <c r="S51" s="209" t="s">
        <v>105</v>
      </c>
      <c r="T51" s="210" t="s">
        <v>106</v>
      </c>
      <c r="U51" s="178" t="s">
        <v>98</v>
      </c>
      <c r="V51" s="153" t="s">
        <v>100</v>
      </c>
      <c r="W51" s="153" t="s">
        <v>33</v>
      </c>
      <c r="X51" s="153" t="s">
        <v>69</v>
      </c>
      <c r="Y51" s="153"/>
      <c r="Z51" s="153"/>
      <c r="AA51" s="178"/>
      <c r="AB51" s="153" t="s">
        <v>72</v>
      </c>
      <c r="AC51" s="153" t="s">
        <v>104</v>
      </c>
      <c r="AD51" s="153"/>
      <c r="AE51" s="183" t="s">
        <v>77</v>
      </c>
      <c r="AF51" s="209" t="s">
        <v>105</v>
      </c>
      <c r="AG51" s="210" t="s">
        <v>106</v>
      </c>
      <c r="AH51" s="178" t="s">
        <v>98</v>
      </c>
      <c r="AI51" s="153" t="s">
        <v>100</v>
      </c>
      <c r="AJ51" s="153" t="s">
        <v>34</v>
      </c>
      <c r="AK51" s="153" t="s">
        <v>69</v>
      </c>
      <c r="AL51" s="178"/>
      <c r="AM51" s="153" t="s">
        <v>72</v>
      </c>
      <c r="AN51" s="153" t="s">
        <v>104</v>
      </c>
      <c r="AO51" s="153"/>
      <c r="AP51" s="183" t="s">
        <v>77</v>
      </c>
      <c r="AQ51" s="209" t="s">
        <v>105</v>
      </c>
      <c r="AR51" s="210" t="s">
        <v>106</v>
      </c>
      <c r="AS51" s="178" t="s">
        <v>98</v>
      </c>
      <c r="AT51" s="153" t="s">
        <v>100</v>
      </c>
      <c r="AU51" s="153" t="s">
        <v>34</v>
      </c>
      <c r="AV51" s="153" t="s">
        <v>69</v>
      </c>
      <c r="AW51" s="178"/>
      <c r="AX51" s="153" t="s">
        <v>72</v>
      </c>
      <c r="AY51" s="153" t="s">
        <v>104</v>
      </c>
      <c r="AZ51" s="153"/>
      <c r="BA51" s="183" t="s">
        <v>77</v>
      </c>
      <c r="BB51" s="209" t="s">
        <v>105</v>
      </c>
      <c r="BC51" s="210" t="s">
        <v>106</v>
      </c>
      <c r="BD51" s="178" t="s">
        <v>98</v>
      </c>
      <c r="BE51" s="153" t="s">
        <v>100</v>
      </c>
      <c r="BF51" s="153" t="s">
        <v>34</v>
      </c>
      <c r="BG51" s="153" t="s">
        <v>69</v>
      </c>
      <c r="BH51" s="178"/>
      <c r="BI51" s="178"/>
      <c r="BJ51" s="178"/>
      <c r="BK51" s="227"/>
      <c r="BL51" s="12"/>
      <c r="BM51" s="227"/>
      <c r="BN51" s="275"/>
      <c r="BO51" s="12"/>
    </row>
    <row r="52" spans="1:67" x14ac:dyDescent="0.25">
      <c r="A52" s="296"/>
      <c r="B52" s="116"/>
      <c r="C52" s="115"/>
      <c r="D52" s="178"/>
      <c r="E52" s="211">
        <f>E50</f>
        <v>10</v>
      </c>
      <c r="F52" s="190">
        <f>IF($D$4=2025,1,0)</f>
        <v>0</v>
      </c>
      <c r="G52" s="178">
        <f>IF($B43="Yes",$C$5,$I43)</f>
        <v>12</v>
      </c>
      <c r="H52" s="191">
        <f>H41</f>
        <v>3</v>
      </c>
      <c r="I52" s="212">
        <f>VLOOKUP(J41,'Lookup Tables'!$AB$22:$AC$31,2,FALSE)</f>
        <v>32</v>
      </c>
      <c r="J52" s="213">
        <f>VLOOKUP(U41,'Lookup Tables'!$AB$32:$AC$41,2,FALSE)</f>
        <v>33</v>
      </c>
      <c r="K52" s="203">
        <f>E52-J52</f>
        <v>-23</v>
      </c>
      <c r="L52" s="178">
        <f>IF(K52&gt;0,1,0)</f>
        <v>0</v>
      </c>
      <c r="M52" s="195">
        <f>M41</f>
        <v>0</v>
      </c>
      <c r="N52" s="196">
        <f>((((('Rate Tables'!E9*9)*0.02778)/5)*K52)*L52)*F52*M52</f>
        <v>0</v>
      </c>
      <c r="O52" s="197">
        <f>O41</f>
        <v>12</v>
      </c>
      <c r="P52" s="197">
        <f>IF(O52&lt;0,O52*0,1)*O52</f>
        <v>12</v>
      </c>
      <c r="Q52" s="203">
        <f>(E52-K52*F52*L52*M52)</f>
        <v>10</v>
      </c>
      <c r="R52" s="191">
        <f>S41</f>
        <v>3</v>
      </c>
      <c r="S52" s="212">
        <f>VLOOKUP(U41,'Lookup Tables'!$AB$22:$AC$31,2,FALSE)</f>
        <v>32</v>
      </c>
      <c r="T52" s="213">
        <f>VLOOKUP(AF41,'Lookup Tables'!$AB$32:$AC$41,2,FALSE)</f>
        <v>33</v>
      </c>
      <c r="U52" s="206">
        <f>Q52-T52</f>
        <v>-23</v>
      </c>
      <c r="V52" s="178">
        <f>IF(U52&gt;0,1,0)</f>
        <v>0</v>
      </c>
      <c r="W52" s="196">
        <f>((('Rate Tables'!F9*9)*0.02778)/5)*U52*F52*V52</f>
        <v>0</v>
      </c>
      <c r="X52" s="197">
        <f>AA41</f>
        <v>2</v>
      </c>
      <c r="Y52" s="178"/>
      <c r="Z52" s="195"/>
      <c r="AA52" s="178"/>
      <c r="AB52" s="197">
        <f>IF(X52&lt;0,X52*0,1)*X52</f>
        <v>2</v>
      </c>
      <c r="AC52" s="203">
        <f>Q52-(U52*V52)</f>
        <v>10</v>
      </c>
      <c r="AD52" s="178"/>
      <c r="AE52" s="191">
        <f>AE41</f>
        <v>1</v>
      </c>
      <c r="AF52" s="212">
        <f>VLOOKUP(AF41,'Lookup Tables'!$AB$22:$AC$31,2,FALSE)</f>
        <v>32</v>
      </c>
      <c r="AG52" s="213">
        <f>VLOOKUP(AQ41,'Lookup Tables'!$AB$32:$AC$41,2,FALSE)</f>
        <v>0</v>
      </c>
      <c r="AH52" s="208">
        <f>AC52-AG52</f>
        <v>10</v>
      </c>
      <c r="AI52" s="178">
        <f>IF(AH52&gt;0,1,0)</f>
        <v>1</v>
      </c>
      <c r="AJ52" s="196">
        <f>((('Rate Tables'!G9*9)*0.02778)/5)*AH52*AI52*F52</f>
        <v>0</v>
      </c>
      <c r="AK52" s="197">
        <f>AL41</f>
        <v>0</v>
      </c>
      <c r="AL52" s="178"/>
      <c r="AM52" s="197">
        <f>IF(AK52&lt;0,AK52*0,1)*AK52</f>
        <v>0</v>
      </c>
      <c r="AN52" s="203">
        <f>AC52-(AH52*AI52)</f>
        <v>0</v>
      </c>
      <c r="AO52" s="178"/>
      <c r="AP52" s="191">
        <f>AP41</f>
        <v>3</v>
      </c>
      <c r="AQ52" s="212">
        <f>VLOOKUP(AQ41,'Lookup Tables'!$AB$22:$AC$31,2,FALSE)</f>
        <v>0</v>
      </c>
      <c r="AR52" s="213">
        <f>VLOOKUP(BB41,'Lookup Tables'!$AB$32:$AC$41,2,FALSE)</f>
        <v>0</v>
      </c>
      <c r="AS52" s="208">
        <f>AN52-AR52</f>
        <v>0</v>
      </c>
      <c r="AT52" s="178">
        <f>IF(AS52&gt;0,1,0)</f>
        <v>0</v>
      </c>
      <c r="AU52" s="196">
        <f>((('Rate Tables'!H9*9)*0.02778)/5)*AS52*AT52*F52</f>
        <v>0</v>
      </c>
      <c r="AV52" s="197">
        <f>AW41</f>
        <v>0</v>
      </c>
      <c r="AW52" s="178"/>
      <c r="AX52" s="197">
        <f>IF(AV52&lt;0,AV52*0,1)*AV52</f>
        <v>0</v>
      </c>
      <c r="AY52" s="203">
        <f>AN52-(AS52*AT52)</f>
        <v>0</v>
      </c>
      <c r="AZ52" s="178"/>
      <c r="BA52" s="191">
        <f>BA41</f>
        <v>3</v>
      </c>
      <c r="BB52" s="212">
        <f>VLOOKUP(BB41,'Lookup Tables'!$AB$22:$AC$31,2,FALSE)</f>
        <v>0</v>
      </c>
      <c r="BC52" s="213">
        <v>0</v>
      </c>
      <c r="BD52" s="208">
        <f>AY52-BC52</f>
        <v>0</v>
      </c>
      <c r="BE52" s="178">
        <f>IF(BD52&gt;0,1,0)</f>
        <v>0</v>
      </c>
      <c r="BF52" s="196">
        <f>((('Rate Tables'!I9*9)*0.02778)/5)*BD52*BE52*F52</f>
        <v>0</v>
      </c>
      <c r="BG52" s="197">
        <f>BH41</f>
        <v>0</v>
      </c>
      <c r="BH52" s="178"/>
      <c r="BI52" s="178"/>
      <c r="BJ52" s="178"/>
      <c r="BK52" s="227"/>
      <c r="BL52" s="12"/>
      <c r="BM52" s="227"/>
      <c r="BN52" s="275"/>
      <c r="BO52" s="12"/>
    </row>
    <row r="53" spans="1:67" ht="15.75" thickBot="1" x14ac:dyDescent="0.3">
      <c r="A53" s="296"/>
      <c r="B53" s="116"/>
      <c r="C53" s="114"/>
      <c r="D53" s="178"/>
      <c r="E53" s="178"/>
      <c r="F53" s="178"/>
      <c r="G53" s="749" t="s">
        <v>559</v>
      </c>
      <c r="H53" s="206">
        <f>BK46</f>
        <v>10</v>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307"/>
      <c r="BL53" s="12"/>
      <c r="BM53" s="227" t="s">
        <v>453</v>
      </c>
      <c r="BN53" s="275">
        <f>IF(BN48=0,0,BN47)</f>
        <v>0.2697</v>
      </c>
      <c r="BO53" s="12">
        <f>(BN44+BN54)*BO47</f>
        <v>0</v>
      </c>
    </row>
    <row r="54" spans="1:67" ht="15.75" thickBot="1" x14ac:dyDescent="0.3">
      <c r="A54" s="380">
        <f>Personnel!U16</f>
        <v>0</v>
      </c>
      <c r="B54" s="273">
        <f>Personnel!U17</f>
        <v>0</v>
      </c>
      <c r="C54" s="114"/>
      <c r="D54" s="178"/>
      <c r="E54" s="178"/>
      <c r="F54" s="178"/>
      <c r="G54" s="749" t="s">
        <v>560</v>
      </c>
      <c r="H54" s="178">
        <f>VLOOKUP(H46,'Lookup Tables'!$L$62:$Y$74,MATCH(G46,'Lookup Tables'!$L$62:$Y$62,FALSE))</f>
        <v>65</v>
      </c>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309"/>
      <c r="BL54" s="274"/>
      <c r="BM54" s="278" t="s">
        <v>415</v>
      </c>
      <c r="BN54" s="279">
        <f>BN44*BN53</f>
        <v>0</v>
      </c>
      <c r="BO54" s="373">
        <f>BN44+BN54+BO53</f>
        <v>0</v>
      </c>
    </row>
    <row r="55" spans="1:67" ht="15.75" thickBot="1" x14ac:dyDescent="0.3">
      <c r="A55" s="297"/>
      <c r="B55" s="295"/>
      <c r="C55" s="291"/>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80"/>
      <c r="BL55" s="149"/>
      <c r="BM55" s="280"/>
      <c r="BN55" s="281"/>
      <c r="BO55" s="374"/>
    </row>
    <row r="56" spans="1:67" ht="26.25" x14ac:dyDescent="0.25">
      <c r="A56" s="298" t="s">
        <v>174</v>
      </c>
      <c r="B56" s="294" t="s">
        <v>337</v>
      </c>
      <c r="C56" s="259" t="s">
        <v>605</v>
      </c>
      <c r="D56" s="181"/>
      <c r="E56" s="181"/>
      <c r="F56" s="181"/>
      <c r="G56" s="181"/>
      <c r="H56" s="181"/>
      <c r="I56" s="181"/>
      <c r="J56" s="181"/>
      <c r="K56" s="181"/>
      <c r="L56" s="181"/>
      <c r="M56" s="181"/>
      <c r="N56" s="181"/>
      <c r="O56" s="181">
        <v>21</v>
      </c>
      <c r="P56" s="181"/>
      <c r="Q56" s="181"/>
      <c r="R56" s="181"/>
      <c r="S56" s="181"/>
      <c r="T56" s="181"/>
      <c r="U56" s="181"/>
      <c r="V56" s="181"/>
      <c r="W56" s="181"/>
      <c r="X56" s="181"/>
      <c r="Y56" s="181"/>
      <c r="Z56" s="493">
        <v>44378</v>
      </c>
      <c r="AA56" s="493">
        <v>44742</v>
      </c>
      <c r="AB56" s="181"/>
      <c r="AC56" s="181"/>
      <c r="AD56" s="181"/>
      <c r="AE56" s="181"/>
      <c r="AF56" s="181"/>
      <c r="AG56" s="181"/>
      <c r="AH56" s="181"/>
      <c r="AI56" s="181"/>
      <c r="AJ56" s="181"/>
      <c r="AK56" s="181"/>
      <c r="AL56" s="181">
        <v>23</v>
      </c>
      <c r="AM56" s="181"/>
      <c r="AN56" s="181"/>
      <c r="AO56" s="181"/>
      <c r="AP56" s="181"/>
      <c r="AQ56" s="181"/>
      <c r="AR56" s="181"/>
      <c r="AS56" s="181"/>
      <c r="AT56" s="181"/>
      <c r="AU56" s="181"/>
      <c r="AV56" s="181"/>
      <c r="AW56" s="181">
        <v>23</v>
      </c>
      <c r="AX56" s="181"/>
      <c r="AY56" s="181"/>
      <c r="AZ56" s="181"/>
      <c r="BA56" s="181"/>
      <c r="BB56" s="181"/>
      <c r="BC56" s="181"/>
      <c r="BD56" s="181"/>
      <c r="BE56" s="181"/>
      <c r="BF56" s="181"/>
      <c r="BG56" s="181"/>
      <c r="BH56" s="181"/>
      <c r="BI56" s="181"/>
      <c r="BJ56" s="181"/>
      <c r="BK56" s="282"/>
      <c r="BL56" s="144"/>
      <c r="BM56" s="282"/>
      <c r="BN56" s="283"/>
      <c r="BO56" s="12"/>
    </row>
    <row r="57" spans="1:67" x14ac:dyDescent="0.25">
      <c r="A57" s="354">
        <f>Personnel!C22</f>
        <v>0</v>
      </c>
      <c r="B57" s="346" t="str">
        <f>Personnel!C21</f>
        <v>Faculty</v>
      </c>
      <c r="C57" s="347">
        <f>Personnel!C23</f>
        <v>0</v>
      </c>
      <c r="D57" s="178"/>
      <c r="E57" s="178"/>
      <c r="F57" s="178"/>
      <c r="G57" s="178"/>
      <c r="H57" s="178"/>
      <c r="I57" s="178"/>
      <c r="J57" s="178"/>
      <c r="K57" s="178"/>
      <c r="L57" s="178"/>
      <c r="M57" s="178"/>
      <c r="N57" s="178"/>
      <c r="O57" s="178">
        <v>22</v>
      </c>
      <c r="P57" s="178"/>
      <c r="Q57" s="178"/>
      <c r="R57" s="178"/>
      <c r="S57" s="178"/>
      <c r="T57" s="178"/>
      <c r="U57" s="178"/>
      <c r="V57" s="178"/>
      <c r="W57" s="178"/>
      <c r="X57" s="178"/>
      <c r="Y57" s="178"/>
      <c r="Z57" s="178"/>
      <c r="AA57" s="178">
        <v>23</v>
      </c>
      <c r="AB57" s="178"/>
      <c r="AC57" s="178"/>
      <c r="AD57" s="178"/>
      <c r="AE57" s="178"/>
      <c r="AF57" s="178"/>
      <c r="AG57" s="178"/>
      <c r="AH57" s="178"/>
      <c r="AI57" s="178"/>
      <c r="AJ57" s="178"/>
      <c r="AK57" s="178"/>
      <c r="AL57" s="178">
        <v>24</v>
      </c>
      <c r="AM57" s="178"/>
      <c r="AN57" s="178"/>
      <c r="AO57" s="178"/>
      <c r="AP57" s="178"/>
      <c r="AQ57" s="178"/>
      <c r="AR57" s="178"/>
      <c r="AS57" s="178"/>
      <c r="AT57" s="178"/>
      <c r="AU57" s="178"/>
      <c r="AV57" s="178"/>
      <c r="AW57" s="178">
        <v>24</v>
      </c>
      <c r="AX57" s="178"/>
      <c r="AY57" s="178"/>
      <c r="AZ57" s="178"/>
      <c r="BA57" s="178"/>
      <c r="BB57" s="178"/>
      <c r="BC57" s="178"/>
      <c r="BD57" s="178"/>
      <c r="BE57" s="178"/>
      <c r="BF57" s="178"/>
      <c r="BG57" s="178"/>
      <c r="BH57" s="178"/>
      <c r="BI57" s="178"/>
      <c r="BJ57" s="178"/>
      <c r="BK57" s="306" t="s">
        <v>412</v>
      </c>
      <c r="BL57" s="348">
        <f>Personnel!W21</f>
        <v>0</v>
      </c>
      <c r="BM57" s="276" t="s">
        <v>414</v>
      </c>
      <c r="BN57" s="277">
        <f>(N59+N61+N63+N65+Z59+Z61+Z63+Z65+AK59+AK61+AK63+AK65+AV59+AV61+AV63+AV65+BG59+BG61+BG63+BG65)*BL66</f>
        <v>0</v>
      </c>
      <c r="BO57" s="224"/>
    </row>
    <row r="58" spans="1:67" x14ac:dyDescent="0.25">
      <c r="A58" s="296"/>
      <c r="B58" s="116"/>
      <c r="C58" s="117" t="s">
        <v>30</v>
      </c>
      <c r="D58" s="178"/>
      <c r="E58" s="153" t="s">
        <v>16</v>
      </c>
      <c r="F58" s="153" t="s">
        <v>42</v>
      </c>
      <c r="G58" s="153" t="s">
        <v>41</v>
      </c>
      <c r="H58" s="183" t="s">
        <v>77</v>
      </c>
      <c r="I58" s="184" t="s">
        <v>90</v>
      </c>
      <c r="J58" s="185" t="s">
        <v>70</v>
      </c>
      <c r="K58" s="186" t="s">
        <v>93</v>
      </c>
      <c r="L58" s="153" t="s">
        <v>35</v>
      </c>
      <c r="M58" s="153" t="s">
        <v>82</v>
      </c>
      <c r="N58" s="153" t="s">
        <v>31</v>
      </c>
      <c r="O58" s="153" t="s">
        <v>69</v>
      </c>
      <c r="P58" s="153" t="s">
        <v>72</v>
      </c>
      <c r="Q58" s="183" t="s">
        <v>80</v>
      </c>
      <c r="R58" s="187" t="s">
        <v>81</v>
      </c>
      <c r="S58" s="183" t="s">
        <v>77</v>
      </c>
      <c r="T58" s="598" t="s">
        <v>83</v>
      </c>
      <c r="U58" s="185" t="s">
        <v>70</v>
      </c>
      <c r="V58" s="153" t="s">
        <v>91</v>
      </c>
      <c r="W58" s="153" t="s">
        <v>43</v>
      </c>
      <c r="X58" s="153" t="s">
        <v>53</v>
      </c>
      <c r="Y58" s="153" t="s">
        <v>68</v>
      </c>
      <c r="Z58" s="153" t="s">
        <v>32</v>
      </c>
      <c r="AA58" s="153" t="s">
        <v>69</v>
      </c>
      <c r="AB58" s="153" t="s">
        <v>72</v>
      </c>
      <c r="AC58" s="153" t="s">
        <v>80</v>
      </c>
      <c r="AD58" s="187" t="s">
        <v>81</v>
      </c>
      <c r="AE58" s="183" t="s">
        <v>77</v>
      </c>
      <c r="AF58" s="185" t="s">
        <v>70</v>
      </c>
      <c r="AG58" s="153" t="s">
        <v>92</v>
      </c>
      <c r="AH58" s="153" t="s">
        <v>44</v>
      </c>
      <c r="AI58" s="153" t="s">
        <v>78</v>
      </c>
      <c r="AJ58" s="153" t="s">
        <v>68</v>
      </c>
      <c r="AK58" s="153" t="s">
        <v>33</v>
      </c>
      <c r="AL58" s="153" t="s">
        <v>69</v>
      </c>
      <c r="AM58" s="153" t="s">
        <v>72</v>
      </c>
      <c r="AN58" s="153" t="s">
        <v>80</v>
      </c>
      <c r="AO58" s="187" t="s">
        <v>81</v>
      </c>
      <c r="AP58" s="183" t="s">
        <v>77</v>
      </c>
      <c r="AQ58" s="185" t="s">
        <v>70</v>
      </c>
      <c r="AR58" s="153" t="s">
        <v>92</v>
      </c>
      <c r="AS58" s="153" t="s">
        <v>44</v>
      </c>
      <c r="AT58" s="153" t="s">
        <v>78</v>
      </c>
      <c r="AU58" s="153" t="s">
        <v>68</v>
      </c>
      <c r="AV58" s="153" t="s">
        <v>33</v>
      </c>
      <c r="AW58" s="153" t="s">
        <v>69</v>
      </c>
      <c r="AX58" s="153" t="s">
        <v>72</v>
      </c>
      <c r="AY58" s="153" t="s">
        <v>80</v>
      </c>
      <c r="AZ58" s="187" t="s">
        <v>81</v>
      </c>
      <c r="BA58" s="183" t="s">
        <v>77</v>
      </c>
      <c r="BB58" s="185" t="s">
        <v>70</v>
      </c>
      <c r="BC58" s="153" t="s">
        <v>92</v>
      </c>
      <c r="BD58" s="153" t="s">
        <v>44</v>
      </c>
      <c r="BE58" s="153" t="s">
        <v>78</v>
      </c>
      <c r="BF58" s="153" t="s">
        <v>68</v>
      </c>
      <c r="BG58" s="153" t="s">
        <v>33</v>
      </c>
      <c r="BH58" s="153" t="s">
        <v>69</v>
      </c>
      <c r="BI58" s="153"/>
      <c r="BJ58" s="178"/>
      <c r="BK58" s="227"/>
      <c r="BL58" s="349"/>
      <c r="BM58" s="227"/>
      <c r="BN58" s="275"/>
      <c r="BO58" s="12"/>
    </row>
    <row r="59" spans="1:67" x14ac:dyDescent="0.25">
      <c r="A59" s="296"/>
      <c r="B59" s="116"/>
      <c r="C59" s="115"/>
      <c r="D59" s="178"/>
      <c r="E59" s="189">
        <f>BL57</f>
        <v>0</v>
      </c>
      <c r="F59" s="190">
        <f>IF($D$4=2022,1,0)</f>
        <v>0</v>
      </c>
      <c r="G59" s="178">
        <f>IF($B67="Yes",$C$5,$I67)</f>
        <v>12</v>
      </c>
      <c r="H59" s="492">
        <f>VLOOKUP(H66,'Lookup Tables'!$A$22:$B$33,2,FALSE)</f>
        <v>3</v>
      </c>
      <c r="I59" s="192">
        <f>VLOOKUP($E$4,'Lookup Tables'!$AB$46:$AN$58,MATCH($H59,'Lookup Tables'!$AB$46:$AN$46),FALSE)</f>
        <v>12</v>
      </c>
      <c r="J59" s="193">
        <f>VLOOKUP(H59,'Lookup Tables'!$A$3:$AA$16,MATCH(PersonCalcYr3!$G59,'Lookup Tables'!$A$3:$AA$3),FALSE)</f>
        <v>1.5161</v>
      </c>
      <c r="K59" s="194">
        <f>VLOOKUP(H66,'Lookup Tables'!$K$23:$L$34,2,FALSE)</f>
        <v>0</v>
      </c>
      <c r="L59" s="178">
        <f>IF(G59&lt;=K59,G59,K59)</f>
        <v>0</v>
      </c>
      <c r="M59" s="195">
        <f>IF(12-I59&gt;=1,1,0)</f>
        <v>0</v>
      </c>
      <c r="N59" s="196">
        <f>(('Rate Tables'!B14*PersonCalcYr3!E59)*PersonCalcYr3!L59)*PersonCalcYr3!F59*M59</f>
        <v>0</v>
      </c>
      <c r="O59" s="197">
        <f>G59-((J59+L59)*M59)</f>
        <v>12</v>
      </c>
      <c r="P59" s="197">
        <f>IF(O59&lt;0,O59*0,1)*O59</f>
        <v>12</v>
      </c>
      <c r="Q59" s="198">
        <f>H59+(L59*M59)+(J59*M59)</f>
        <v>3</v>
      </c>
      <c r="R59" s="199" t="str">
        <f>VLOOKUP(Q59,'Lookup Tables'!$A$38:$B$151,2,FALSE)</f>
        <v>Sept</v>
      </c>
      <c r="S59" s="191">
        <f>VLOOKUP(R59,'Lookup Tables'!$A$22:$B$33,2,FALSE)</f>
        <v>3</v>
      </c>
      <c r="T59" s="599">
        <f>VLOOKUP($E$4,'Lookup Tables'!$AB$63:$AN$75,MATCH(PersonCalcYr3!$S59,'Lookup Tables'!$AB$63:$AN$63),FALSE)</f>
        <v>0.5161</v>
      </c>
      <c r="U59" s="200">
        <f>VLOOKUP(S59,'Lookup Tables'!$A$3:$AA$16,MATCH(PersonCalcYr3!$P59,'Lookup Tables'!$A$3:$AA$3),FALSE)</f>
        <v>1.5161</v>
      </c>
      <c r="V59" s="496">
        <f>9-T59</f>
        <v>8.4839000000000002</v>
      </c>
      <c r="W59" s="201">
        <f>P59-U59</f>
        <v>10.4839</v>
      </c>
      <c r="X59" s="195">
        <f>IF(V59&lt;=W59,V59,W59)</f>
        <v>8.4839000000000002</v>
      </c>
      <c r="Y59" s="195">
        <f>IF(12-T59-U59-X59&gt;=0,1,0)</f>
        <v>1</v>
      </c>
      <c r="Z59" s="202">
        <f>((('Rate Tables'!C14*$E59)*PersonCalcYr3!$X59)*$F59)*Y59</f>
        <v>0</v>
      </c>
      <c r="AA59" s="197">
        <f>O59-(((U59*U67)+X59)*Y59)</f>
        <v>2</v>
      </c>
      <c r="AB59" s="197">
        <f>IF(AA59&lt;0,AA59*0,1)*AA59</f>
        <v>2</v>
      </c>
      <c r="AC59" s="601">
        <f>S59+(X59*Y59)+((U59*U67)*Y59)</f>
        <v>13</v>
      </c>
      <c r="AD59" s="199" t="str">
        <f>VLOOKUP(AC59,'Lookup Tables'!$A$38:$B$151,2,FALSE)</f>
        <v>July</v>
      </c>
      <c r="AE59" s="191">
        <f>VLOOKUP(AD59,'Lookup Tables'!$A$22:$B$33,2,FALSE)</f>
        <v>1</v>
      </c>
      <c r="AF59" s="200">
        <f>VLOOKUP(AE59,'Lookup Tables'!$A$3:$AA$16,MATCH(PersonCalcYr3!AB59,'Lookup Tables'!$A$3:$AA$3),FALSE)</f>
        <v>1.4839</v>
      </c>
      <c r="AG59" s="178">
        <v>9</v>
      </c>
      <c r="AH59" s="201">
        <f>AB59-AF59</f>
        <v>0.5161</v>
      </c>
      <c r="AI59" s="195">
        <f>IF(AG59&lt;=AH59,AG59,AH59)</f>
        <v>0.5161</v>
      </c>
      <c r="AJ59" s="195">
        <f>IF((AG59+AF59)&lt;=0,0,1)</f>
        <v>1</v>
      </c>
      <c r="AK59" s="204">
        <f>((('Rate Tables'!D14*$E59)*PersonCalcYr3!AI59)*$F59)*AJ59</f>
        <v>0</v>
      </c>
      <c r="AL59" s="197">
        <f>AB59-AF59-AI59</f>
        <v>0</v>
      </c>
      <c r="AM59" s="197">
        <f>IF(AL59&lt;0,AL59*0,1)*AL59</f>
        <v>0</v>
      </c>
      <c r="AN59" s="203">
        <f>AE59+(AI59*AJ59)+((AF59*AF67)*AJ59)</f>
        <v>3</v>
      </c>
      <c r="AO59" s="199" t="str">
        <f>VLOOKUP(AN59,'Lookup Tables'!$A$38:$B$151,2,FALSE)</f>
        <v>Sept</v>
      </c>
      <c r="AP59" s="191">
        <f>VLOOKUP(AO59,'Lookup Tables'!$A$22:$B$33,2,FALSE)</f>
        <v>3</v>
      </c>
      <c r="AQ59" s="200">
        <f>VLOOKUP(AP59,'Lookup Tables'!$A$3:$AA$16,MATCH(PersonCalcYr3!AM59,'Lookup Tables'!$A$3:$AA$3),FALSE)</f>
        <v>0</v>
      </c>
      <c r="AR59" s="178">
        <v>9</v>
      </c>
      <c r="AS59" s="201">
        <f>AM59-AQ59</f>
        <v>0</v>
      </c>
      <c r="AT59" s="195">
        <f>IF(AR59&lt;=AS59,AR59,AS59)</f>
        <v>0</v>
      </c>
      <c r="AU59" s="195">
        <f>IF((AR59+AQ59)&lt;=0,0,1)</f>
        <v>1</v>
      </c>
      <c r="AV59" s="204">
        <f>((('Rate Tables'!E14*$E59)*PersonCalcYr3!AT59)*$F59)*AU59</f>
        <v>0</v>
      </c>
      <c r="AW59" s="197">
        <f>AM59-AQ59-AT59</f>
        <v>0</v>
      </c>
      <c r="AX59" s="197">
        <f>IF(AW59&lt;0,AW59*0,1)*AW59</f>
        <v>0</v>
      </c>
      <c r="AY59" s="203">
        <f>AP59+(AT59*AU59)+((AQ59*AQ67)*AU59)</f>
        <v>3</v>
      </c>
      <c r="AZ59" s="199" t="str">
        <f>VLOOKUP(AY59,'Lookup Tables'!$A$38:$B$151,2,FALSE)</f>
        <v>Sept</v>
      </c>
      <c r="BA59" s="191">
        <f>VLOOKUP(AZ59,'Lookup Tables'!$A$22:$B$33,2,FALSE)</f>
        <v>3</v>
      </c>
      <c r="BB59" s="200">
        <f>VLOOKUP(BA59,'Lookup Tables'!$A$3:$AA$16,MATCH(PersonCalcYr3!AX59,'Lookup Tables'!$A$3:$AA$3),FALSE)</f>
        <v>0</v>
      </c>
      <c r="BC59" s="178">
        <v>9</v>
      </c>
      <c r="BD59" s="201">
        <f>AX59-BB59</f>
        <v>0</v>
      </c>
      <c r="BE59" s="195">
        <f>IF(BC59&lt;=BD59,BC59,BD59)</f>
        <v>0</v>
      </c>
      <c r="BF59" s="195">
        <f>IF((BC59+BB59)&lt;=0,0,1)</f>
        <v>1</v>
      </c>
      <c r="BG59" s="204">
        <f>((('Rate Tables'!F14*$E59)*PersonCalcYr3!BE59)*$F59)*BF59</f>
        <v>0</v>
      </c>
      <c r="BH59" s="197">
        <f>AX59-BB59-BE59</f>
        <v>0</v>
      </c>
      <c r="BI59" s="197"/>
      <c r="BJ59" s="178"/>
      <c r="BK59" s="227"/>
      <c r="BL59" s="350"/>
      <c r="BM59" s="227"/>
      <c r="BN59" s="275"/>
      <c r="BO59" s="12"/>
    </row>
    <row r="60" spans="1:67" x14ac:dyDescent="0.25">
      <c r="A60" s="296"/>
      <c r="B60" s="116"/>
      <c r="C60" s="117" t="s">
        <v>597</v>
      </c>
      <c r="D60" s="178"/>
      <c r="E60" s="153" t="s">
        <v>16</v>
      </c>
      <c r="F60" s="153" t="s">
        <v>42</v>
      </c>
      <c r="G60" s="153" t="s">
        <v>41</v>
      </c>
      <c r="H60" s="183" t="s">
        <v>77</v>
      </c>
      <c r="I60" s="184" t="s">
        <v>90</v>
      </c>
      <c r="J60" s="185" t="s">
        <v>70</v>
      </c>
      <c r="K60" s="186" t="s">
        <v>109</v>
      </c>
      <c r="L60" s="153" t="s">
        <v>53</v>
      </c>
      <c r="M60" s="153" t="s">
        <v>82</v>
      </c>
      <c r="N60" s="153" t="s">
        <v>32</v>
      </c>
      <c r="O60" s="153" t="s">
        <v>69</v>
      </c>
      <c r="P60" s="153" t="s">
        <v>72</v>
      </c>
      <c r="Q60" s="183" t="s">
        <v>80</v>
      </c>
      <c r="R60" s="187" t="s">
        <v>81</v>
      </c>
      <c r="S60" s="183" t="s">
        <v>77</v>
      </c>
      <c r="T60" s="598" t="s">
        <v>83</v>
      </c>
      <c r="U60" s="185" t="s">
        <v>70</v>
      </c>
      <c r="V60" s="153" t="s">
        <v>92</v>
      </c>
      <c r="W60" s="153" t="s">
        <v>44</v>
      </c>
      <c r="X60" s="153" t="s">
        <v>78</v>
      </c>
      <c r="Y60" s="153" t="s">
        <v>68</v>
      </c>
      <c r="Z60" s="153" t="s">
        <v>33</v>
      </c>
      <c r="AA60" s="153" t="s">
        <v>69</v>
      </c>
      <c r="AB60" s="153" t="s">
        <v>72</v>
      </c>
      <c r="AC60" s="153" t="s">
        <v>80</v>
      </c>
      <c r="AD60" s="187" t="s">
        <v>81</v>
      </c>
      <c r="AE60" s="183" t="s">
        <v>77</v>
      </c>
      <c r="AF60" s="185" t="s">
        <v>70</v>
      </c>
      <c r="AG60" s="153" t="s">
        <v>94</v>
      </c>
      <c r="AH60" s="153" t="s">
        <v>45</v>
      </c>
      <c r="AI60" s="153" t="s">
        <v>79</v>
      </c>
      <c r="AJ60" s="153" t="s">
        <v>68</v>
      </c>
      <c r="AK60" s="153" t="s">
        <v>34</v>
      </c>
      <c r="AL60" s="153" t="s">
        <v>69</v>
      </c>
      <c r="AM60" s="153" t="s">
        <v>72</v>
      </c>
      <c r="AN60" s="153" t="s">
        <v>80</v>
      </c>
      <c r="AO60" s="187" t="s">
        <v>81</v>
      </c>
      <c r="AP60" s="183" t="s">
        <v>77</v>
      </c>
      <c r="AQ60" s="185" t="s">
        <v>70</v>
      </c>
      <c r="AR60" s="153" t="s">
        <v>94</v>
      </c>
      <c r="AS60" s="153" t="s">
        <v>45</v>
      </c>
      <c r="AT60" s="153" t="s">
        <v>79</v>
      </c>
      <c r="AU60" s="153" t="s">
        <v>68</v>
      </c>
      <c r="AV60" s="153" t="s">
        <v>34</v>
      </c>
      <c r="AW60" s="153" t="s">
        <v>69</v>
      </c>
      <c r="AX60" s="153" t="s">
        <v>72</v>
      </c>
      <c r="AY60" s="153" t="s">
        <v>80</v>
      </c>
      <c r="AZ60" s="187" t="s">
        <v>81</v>
      </c>
      <c r="BA60" s="183" t="s">
        <v>77</v>
      </c>
      <c r="BB60" s="185" t="s">
        <v>70</v>
      </c>
      <c r="BC60" s="153" t="s">
        <v>94</v>
      </c>
      <c r="BD60" s="153" t="s">
        <v>45</v>
      </c>
      <c r="BE60" s="153" t="s">
        <v>79</v>
      </c>
      <c r="BF60" s="153" t="s">
        <v>68</v>
      </c>
      <c r="BG60" s="153" t="s">
        <v>34</v>
      </c>
      <c r="BH60" s="153" t="s">
        <v>69</v>
      </c>
      <c r="BI60" s="153"/>
      <c r="BJ60" s="178"/>
      <c r="BK60" s="227"/>
      <c r="BL60" s="351"/>
      <c r="BM60" s="227"/>
      <c r="BN60" s="275"/>
      <c r="BO60" s="12"/>
    </row>
    <row r="61" spans="1:67" x14ac:dyDescent="0.25">
      <c r="A61" s="296"/>
      <c r="B61" s="116"/>
      <c r="C61" s="115"/>
      <c r="D61" s="178"/>
      <c r="E61" s="189">
        <f>BL57</f>
        <v>0</v>
      </c>
      <c r="F61" s="190">
        <f>IF($D$4=2023,1,0)</f>
        <v>0</v>
      </c>
      <c r="G61" s="178">
        <f>IF($B67="Yes",$C$5,$I67)</f>
        <v>12</v>
      </c>
      <c r="H61" s="191">
        <f>VLOOKUP(H66,'Lookup Tables'!$A$22:$B$33,2,FALSE)</f>
        <v>3</v>
      </c>
      <c r="I61" s="192">
        <f>VLOOKUP($E$4,'Lookup Tables'!$AB$46:$AN$58,MATCH($H61,'Lookup Tables'!$AB$46:$AN$46),FALSE)</f>
        <v>12</v>
      </c>
      <c r="J61" s="193">
        <f>VLOOKUP(H61,'Lookup Tables'!$A$3:$AA$16,MATCH(PersonCalcYr3!$G61,'Lookup Tables'!$A$3:$AA$3),FALSE)</f>
        <v>1.5161</v>
      </c>
      <c r="K61" s="194">
        <f>VLOOKUP($H66,'Lookup Tables'!$K$23:$L$34,2,FALSE)</f>
        <v>0</v>
      </c>
      <c r="L61" s="178">
        <f>IF(G61&lt;=K61,G61,K61)</f>
        <v>0</v>
      </c>
      <c r="M61" s="195">
        <f>IF(12-I61&gt;=1,1,0)</f>
        <v>0</v>
      </c>
      <c r="N61" s="196">
        <f>(('Rate Tables'!C14*PersonCalcYr3!E61)*PersonCalcYr3!L61)*PersonCalcYr3!F61*M61</f>
        <v>0</v>
      </c>
      <c r="O61" s="197">
        <f>G61-((J61+L61)*M61)</f>
        <v>12</v>
      </c>
      <c r="P61" s="197">
        <f>IF(O61&lt;0,O61*0,1)*O61</f>
        <v>12</v>
      </c>
      <c r="Q61" s="198">
        <f>H61+(L61*M61)+(J61*M61)</f>
        <v>3</v>
      </c>
      <c r="R61" s="199" t="str">
        <f>VLOOKUP(Q61,'Lookup Tables'!$A$38:$B$151,2,FALSE)</f>
        <v>Sept</v>
      </c>
      <c r="S61" s="191">
        <f>VLOOKUP(R61,'Lookup Tables'!$A$22:$B$33,2,FALSE)</f>
        <v>3</v>
      </c>
      <c r="T61" s="599">
        <f>VLOOKUP($E$4,'Lookup Tables'!$AB$63:$AN$75,MATCH(PersonCalcYr3!$S61,'Lookup Tables'!$AB$63:$AN$63),FALSE)</f>
        <v>0.5161</v>
      </c>
      <c r="U61" s="200">
        <f>VLOOKUP(S61,'Lookup Tables'!$A$3:$AA$16,MATCH(PersonCalcYr3!$P61,'Lookup Tables'!$A$3:$AA$3),FALSE)</f>
        <v>1.5161</v>
      </c>
      <c r="V61" s="496">
        <f>9-T61</f>
        <v>8.4839000000000002</v>
      </c>
      <c r="W61" s="201">
        <f>P61-U61</f>
        <v>10.4839</v>
      </c>
      <c r="X61" s="195">
        <f>IF(V61&lt;=W61,V61,W61)</f>
        <v>8.4839000000000002</v>
      </c>
      <c r="Y61" s="195">
        <f>IF(12-T61-U61-X61&gt;=0,1,0)</f>
        <v>1</v>
      </c>
      <c r="Z61" s="202">
        <f>((('Rate Tables'!D14*$E61)*PersonCalcYr3!$X61)*$F61)*Y61</f>
        <v>0</v>
      </c>
      <c r="AA61" s="197">
        <f>O61-(((U61*U67)+X61)*Y61)</f>
        <v>2</v>
      </c>
      <c r="AB61" s="197">
        <f>IF(AA61&lt;0,AA61*0,1)*AA61</f>
        <v>2</v>
      </c>
      <c r="AC61" s="601">
        <f>S61+(X61*Y61)+((U61*U67)*Y61)</f>
        <v>13</v>
      </c>
      <c r="AD61" s="199" t="str">
        <f>VLOOKUP(AC61,'Lookup Tables'!$A$38:$B$151,2,FALSE)</f>
        <v>July</v>
      </c>
      <c r="AE61" s="191">
        <f>VLOOKUP(AD61,'Lookup Tables'!$A$22:$B$33,2,FALSE)</f>
        <v>1</v>
      </c>
      <c r="AF61" s="200">
        <f>VLOOKUP(AE61,'Lookup Tables'!$A$3:$AA$16,MATCH(PersonCalcYr3!AB61,'Lookup Tables'!$A$3:$AA$3),FALSE)</f>
        <v>1.4839</v>
      </c>
      <c r="AG61" s="178">
        <v>9</v>
      </c>
      <c r="AH61" s="201">
        <f>AB61-AF61</f>
        <v>0.5161</v>
      </c>
      <c r="AI61" s="195">
        <f>IF(AG61&lt;=AH61,AG61,AH61)</f>
        <v>0.5161</v>
      </c>
      <c r="AJ61" s="195">
        <f>IF((AG61+AF61)&lt;=0,0,1)</f>
        <v>1</v>
      </c>
      <c r="AK61" s="204">
        <f>((('Rate Tables'!E14*$E61)*PersonCalcYr3!AI61)*$F61)*AJ61</f>
        <v>0</v>
      </c>
      <c r="AL61" s="197">
        <f>AB61-AF61-AI61</f>
        <v>0</v>
      </c>
      <c r="AM61" s="197">
        <f>IF(AL61&lt;0,AL61*0,1)*AL61</f>
        <v>0</v>
      </c>
      <c r="AN61" s="203">
        <f>AE61+(AI61*AJ61)+((AF61*AF67)*AJ61)</f>
        <v>3</v>
      </c>
      <c r="AO61" s="199" t="str">
        <f>VLOOKUP(AN61,'Lookup Tables'!$A$38:$B$151,2,FALSE)</f>
        <v>Sept</v>
      </c>
      <c r="AP61" s="191">
        <f>VLOOKUP(AO61,'Lookup Tables'!$A$22:$B$33,2,FALSE)</f>
        <v>3</v>
      </c>
      <c r="AQ61" s="200">
        <f>VLOOKUP(AP61,'Lookup Tables'!$A$3:$AA$16,MATCH(PersonCalcYr3!AM61,'Lookup Tables'!$A$3:$AA$3),FALSE)</f>
        <v>0</v>
      </c>
      <c r="AR61" s="178">
        <v>9</v>
      </c>
      <c r="AS61" s="201">
        <f>AM61-AQ61</f>
        <v>0</v>
      </c>
      <c r="AT61" s="195">
        <f>IF(AR61&lt;=AS61,AR61,AS61)</f>
        <v>0</v>
      </c>
      <c r="AU61" s="195">
        <f>IF((AR61+AQ61)&lt;=0,0,1)</f>
        <v>1</v>
      </c>
      <c r="AV61" s="204">
        <f>((('Rate Tables'!F14*$E61)*PersonCalcYr3!AT61)*$F61)*AU61</f>
        <v>0</v>
      </c>
      <c r="AW61" s="197">
        <f>AM61-AQ61-AT61</f>
        <v>0</v>
      </c>
      <c r="AX61" s="197">
        <f>IF(AW61&lt;0,AW61*0,1)*AW61</f>
        <v>0</v>
      </c>
      <c r="AY61" s="203">
        <f>AP61+(AT61*AU61)+((AQ61*AQ67)*AU61)</f>
        <v>3</v>
      </c>
      <c r="AZ61" s="199" t="str">
        <f>VLOOKUP(AY61,'Lookup Tables'!$A$38:$B$151,2,FALSE)</f>
        <v>Sept</v>
      </c>
      <c r="BA61" s="191">
        <f>VLOOKUP(AZ61,'Lookup Tables'!$A$22:$B$33,2,FALSE)</f>
        <v>3</v>
      </c>
      <c r="BB61" s="200">
        <f>VLOOKUP(BA61,'Lookup Tables'!$A$3:$AA$16,MATCH(PersonCalcYr3!AX61,'Lookup Tables'!$A$3:$AA$3),FALSE)</f>
        <v>0</v>
      </c>
      <c r="BC61" s="178">
        <v>9</v>
      </c>
      <c r="BD61" s="201">
        <f>AX61-BB61</f>
        <v>0</v>
      </c>
      <c r="BE61" s="195">
        <f>IF(BC61&lt;=BD61,BC61,BD61)</f>
        <v>0</v>
      </c>
      <c r="BF61" s="195">
        <f>IF((BC61+BB61)&lt;=0,0,1)</f>
        <v>1</v>
      </c>
      <c r="BG61" s="204">
        <f>((('Rate Tables'!G14*$E61)*PersonCalcYr3!BE61)*$F61)*BF61</f>
        <v>0</v>
      </c>
      <c r="BH61" s="197">
        <f>AX61-BB61-BE61</f>
        <v>0</v>
      </c>
      <c r="BI61" s="197"/>
      <c r="BJ61" s="178"/>
      <c r="BK61" s="227"/>
      <c r="BL61" s="349"/>
      <c r="BM61" s="227"/>
      <c r="BN61" s="275"/>
      <c r="BO61" s="12"/>
    </row>
    <row r="62" spans="1:67" x14ac:dyDescent="0.25">
      <c r="A62" s="296"/>
      <c r="B62" s="116"/>
      <c r="C62" s="117" t="s">
        <v>664</v>
      </c>
      <c r="D62" s="178"/>
      <c r="E62" s="153" t="s">
        <v>16</v>
      </c>
      <c r="F62" s="153" t="s">
        <v>42</v>
      </c>
      <c r="G62" s="153" t="s">
        <v>41</v>
      </c>
      <c r="H62" s="183" t="s">
        <v>77</v>
      </c>
      <c r="I62" s="184" t="s">
        <v>90</v>
      </c>
      <c r="J62" s="185" t="s">
        <v>70</v>
      </c>
      <c r="K62" s="186" t="s">
        <v>109</v>
      </c>
      <c r="L62" s="153" t="s">
        <v>53</v>
      </c>
      <c r="M62" s="153" t="s">
        <v>82</v>
      </c>
      <c r="N62" s="153" t="s">
        <v>32</v>
      </c>
      <c r="O62" s="153" t="s">
        <v>69</v>
      </c>
      <c r="P62" s="153" t="s">
        <v>72</v>
      </c>
      <c r="Q62" s="183" t="s">
        <v>80</v>
      </c>
      <c r="R62" s="187" t="s">
        <v>81</v>
      </c>
      <c r="S62" s="183" t="s">
        <v>77</v>
      </c>
      <c r="T62" s="598" t="s">
        <v>83</v>
      </c>
      <c r="U62" s="185" t="s">
        <v>70</v>
      </c>
      <c r="V62" s="153" t="s">
        <v>92</v>
      </c>
      <c r="W62" s="153" t="s">
        <v>44</v>
      </c>
      <c r="X62" s="153" t="s">
        <v>78</v>
      </c>
      <c r="Y62" s="153" t="s">
        <v>68</v>
      </c>
      <c r="Z62" s="153" t="s">
        <v>33</v>
      </c>
      <c r="AA62" s="153" t="s">
        <v>69</v>
      </c>
      <c r="AB62" s="153" t="s">
        <v>72</v>
      </c>
      <c r="AC62" s="153" t="s">
        <v>80</v>
      </c>
      <c r="AD62" s="187" t="s">
        <v>81</v>
      </c>
      <c r="AE62" s="183" t="s">
        <v>77</v>
      </c>
      <c r="AF62" s="185" t="s">
        <v>70</v>
      </c>
      <c r="AG62" s="153" t="s">
        <v>94</v>
      </c>
      <c r="AH62" s="153" t="s">
        <v>45</v>
      </c>
      <c r="AI62" s="153" t="s">
        <v>79</v>
      </c>
      <c r="AJ62" s="153" t="s">
        <v>68</v>
      </c>
      <c r="AK62" s="153" t="s">
        <v>34</v>
      </c>
      <c r="AL62" s="153" t="s">
        <v>69</v>
      </c>
      <c r="AM62" s="153" t="s">
        <v>72</v>
      </c>
      <c r="AN62" s="153" t="s">
        <v>80</v>
      </c>
      <c r="AO62" s="187" t="s">
        <v>81</v>
      </c>
      <c r="AP62" s="183" t="s">
        <v>77</v>
      </c>
      <c r="AQ62" s="185" t="s">
        <v>70</v>
      </c>
      <c r="AR62" s="153" t="s">
        <v>94</v>
      </c>
      <c r="AS62" s="153" t="s">
        <v>45</v>
      </c>
      <c r="AT62" s="153" t="s">
        <v>79</v>
      </c>
      <c r="AU62" s="153" t="s">
        <v>68</v>
      </c>
      <c r="AV62" s="153" t="s">
        <v>34</v>
      </c>
      <c r="AW62" s="153" t="s">
        <v>69</v>
      </c>
      <c r="AX62" s="153" t="s">
        <v>72</v>
      </c>
      <c r="AY62" s="153" t="s">
        <v>80</v>
      </c>
      <c r="AZ62" s="187" t="s">
        <v>81</v>
      </c>
      <c r="BA62" s="183" t="s">
        <v>77</v>
      </c>
      <c r="BB62" s="185" t="s">
        <v>70</v>
      </c>
      <c r="BC62" s="153" t="s">
        <v>94</v>
      </c>
      <c r="BD62" s="153" t="s">
        <v>45</v>
      </c>
      <c r="BE62" s="153" t="s">
        <v>79</v>
      </c>
      <c r="BF62" s="153" t="s">
        <v>68</v>
      </c>
      <c r="BG62" s="153" t="s">
        <v>34</v>
      </c>
      <c r="BH62" s="153" t="s">
        <v>69</v>
      </c>
      <c r="BI62" s="197"/>
      <c r="BJ62" s="178"/>
      <c r="BK62" s="227"/>
      <c r="BL62" s="349"/>
      <c r="BM62" s="227"/>
      <c r="BN62" s="275"/>
      <c r="BO62" s="12"/>
    </row>
    <row r="63" spans="1:67" x14ac:dyDescent="0.25">
      <c r="A63" s="296"/>
      <c r="B63" s="116"/>
      <c r="C63" s="115"/>
      <c r="D63" s="178"/>
      <c r="E63" s="189">
        <f>BL57</f>
        <v>0</v>
      </c>
      <c r="F63" s="190">
        <f>IF($D$4=2024,1,0)</f>
        <v>1</v>
      </c>
      <c r="G63" s="178">
        <f>IF($B67="Yes",$C$5,$I67)</f>
        <v>12</v>
      </c>
      <c r="H63" s="191">
        <f>VLOOKUP(H66,'Lookup Tables'!$A$22:$B$33,2,FALSE)</f>
        <v>3</v>
      </c>
      <c r="I63" s="192">
        <f>VLOOKUP($E$4,'Lookup Tables'!$AB$46:$AN$58,MATCH($H63,'Lookup Tables'!$AB$46:$AN$46),FALSE)</f>
        <v>12</v>
      </c>
      <c r="J63" s="193">
        <f>VLOOKUP(H63,'Lookup Tables'!$A$3:$AA$16,MATCH(PersonCalcYr3!$G63,'Lookup Tables'!$A$3:$AA$3),FALSE)</f>
        <v>1.5161</v>
      </c>
      <c r="K63" s="194">
        <f>VLOOKUP($H66,'Lookup Tables'!$K$23:$L$34,2,FALSE)</f>
        <v>0</v>
      </c>
      <c r="L63" s="178">
        <f>IF(G63&lt;=K63,G63,K63)</f>
        <v>0</v>
      </c>
      <c r="M63" s="195">
        <f>IF(12-I63&gt;=1,1,0)</f>
        <v>0</v>
      </c>
      <c r="N63" s="196">
        <f>(('Rate Tables'!D14*PersonCalcYr3!E63)*PersonCalcYr3!L63)*PersonCalcYr3!F63*M63</f>
        <v>0</v>
      </c>
      <c r="O63" s="197">
        <f>G63-((J63+L63)*M63)</f>
        <v>12</v>
      </c>
      <c r="P63" s="197">
        <f>IF(O63&lt;0,O63*0,1)*O63</f>
        <v>12</v>
      </c>
      <c r="Q63" s="198">
        <f>H63+(L63*M63)+(J63*M63)</f>
        <v>3</v>
      </c>
      <c r="R63" s="199" t="str">
        <f>VLOOKUP(Q63,'Lookup Tables'!$A$38:$B$151,2,FALSE)</f>
        <v>Sept</v>
      </c>
      <c r="S63" s="191">
        <f>VLOOKUP(R63,'Lookup Tables'!$A$22:$B$33,2,FALSE)</f>
        <v>3</v>
      </c>
      <c r="T63" s="599">
        <f>VLOOKUP($E$4,'Lookup Tables'!$AB$63:$AN$75,MATCH(PersonCalcYr3!$S63,'Lookup Tables'!$AB$63:$AN$63),FALSE)</f>
        <v>0.5161</v>
      </c>
      <c r="U63" s="200">
        <f>VLOOKUP(S63,'Lookup Tables'!$A$3:$AA$16,MATCH(PersonCalcYr3!$P63,'Lookup Tables'!$A$3:$AA$3),FALSE)</f>
        <v>1.5161</v>
      </c>
      <c r="V63" s="496">
        <f>9-T63</f>
        <v>8.4839000000000002</v>
      </c>
      <c r="W63" s="201">
        <f>P63-U63</f>
        <v>10.4839</v>
      </c>
      <c r="X63" s="195">
        <f>IF(V63&lt;=W63,V63,W63)</f>
        <v>8.4839000000000002</v>
      </c>
      <c r="Y63" s="195">
        <f>IF(12-T63-U63-X63&gt;=0,1,0)</f>
        <v>1</v>
      </c>
      <c r="Z63" s="202">
        <f>((('Rate Tables'!E14*$E63)*PersonCalcYr3!$X63)*$F63)*Y63</f>
        <v>0</v>
      </c>
      <c r="AA63" s="197">
        <f>O63-(((U63*U67)+X63)*Y63)</f>
        <v>2</v>
      </c>
      <c r="AB63" s="197">
        <f>IF(AA63&lt;0,AA63*0,1)*AA63</f>
        <v>2</v>
      </c>
      <c r="AC63" s="601">
        <f>S63+(X63*Y63)+((U63*U67)*Y63)</f>
        <v>13</v>
      </c>
      <c r="AD63" s="199" t="str">
        <f>VLOOKUP(AC63,'Lookup Tables'!$A$38:$B$151,2,FALSE)</f>
        <v>July</v>
      </c>
      <c r="AE63" s="191">
        <f>VLOOKUP(AD63,'Lookup Tables'!$A$22:$B$33,2,FALSE)</f>
        <v>1</v>
      </c>
      <c r="AF63" s="200">
        <f>VLOOKUP(AE63,'Lookup Tables'!$A$3:$AA$16,MATCH(PersonCalcYr3!AB63,'Lookup Tables'!$A$3:$AA$3),FALSE)</f>
        <v>1.4839</v>
      </c>
      <c r="AG63" s="178">
        <v>9</v>
      </c>
      <c r="AH63" s="201">
        <f>AB63-AF63</f>
        <v>0.5161</v>
      </c>
      <c r="AI63" s="195">
        <f>IF(AG63&lt;=AH63,AG63,AH63)</f>
        <v>0.5161</v>
      </c>
      <c r="AJ63" s="195">
        <f>IF((AG63+AF63)&lt;=0,0,1)</f>
        <v>1</v>
      </c>
      <c r="AK63" s="204">
        <f>((('Rate Tables'!F14*$E63)*PersonCalcYr3!AI63)*$F63)*AJ63</f>
        <v>0</v>
      </c>
      <c r="AL63" s="197">
        <f>AB63-AF63-AI63</f>
        <v>0</v>
      </c>
      <c r="AM63" s="197">
        <f>IF(AL63&lt;0,AL63*0,1)*AL63</f>
        <v>0</v>
      </c>
      <c r="AN63" s="203">
        <f>AE63+(AI63*AJ63)+((AF63*AF67)*AJ63)</f>
        <v>3</v>
      </c>
      <c r="AO63" s="199" t="str">
        <f>VLOOKUP(AN63,'Lookup Tables'!$A$38:$B$151,2,FALSE)</f>
        <v>Sept</v>
      </c>
      <c r="AP63" s="191">
        <f>VLOOKUP(AO63,'Lookup Tables'!$A$22:$B$33,2,FALSE)</f>
        <v>3</v>
      </c>
      <c r="AQ63" s="200">
        <f>VLOOKUP(AP63,'Lookup Tables'!$A$3:$AA$16,MATCH(PersonCalcYr3!AM63,'Lookup Tables'!$A$3:$AA$3),FALSE)</f>
        <v>0</v>
      </c>
      <c r="AR63" s="178">
        <v>9</v>
      </c>
      <c r="AS63" s="201">
        <f>AM63-AQ63</f>
        <v>0</v>
      </c>
      <c r="AT63" s="195">
        <f>IF(AR63&lt;=AS63,AR63,AS63)</f>
        <v>0</v>
      </c>
      <c r="AU63" s="195">
        <f>IF((AR63+AQ63)&lt;=0,0,1)</f>
        <v>1</v>
      </c>
      <c r="AV63" s="204">
        <f>((('Rate Tables'!G14*$E63)*PersonCalcYr3!AT63)*$F63)*AU63</f>
        <v>0</v>
      </c>
      <c r="AW63" s="197">
        <f>AM63-AQ63-AT63</f>
        <v>0</v>
      </c>
      <c r="AX63" s="197">
        <f>IF(AW63&lt;0,AW63*0,1)*AW63</f>
        <v>0</v>
      </c>
      <c r="AY63" s="203">
        <f>AP63+(AT63*AU63)+((AQ63*AQ67)*AU63)</f>
        <v>3</v>
      </c>
      <c r="AZ63" s="199" t="str">
        <f>VLOOKUP(AY63,'Lookup Tables'!$A$38:$B$151,2,FALSE)</f>
        <v>Sept</v>
      </c>
      <c r="BA63" s="191">
        <f>VLOOKUP(AZ63,'Lookup Tables'!$A$22:$B$33,2,FALSE)</f>
        <v>3</v>
      </c>
      <c r="BB63" s="200">
        <f>VLOOKUP(BA63,'Lookup Tables'!$A$3:$AA$16,MATCH(PersonCalcYr3!AX63,'Lookup Tables'!$A$3:$AA$3),FALSE)</f>
        <v>0</v>
      </c>
      <c r="BC63" s="178">
        <v>9</v>
      </c>
      <c r="BD63" s="201">
        <f>AX63-BB63</f>
        <v>0</v>
      </c>
      <c r="BE63" s="195">
        <f>IF(BC63&lt;=BD63,BC63,BD63)</f>
        <v>0</v>
      </c>
      <c r="BF63" s="195">
        <f>IF((BC63+BB63)&lt;=0,0,1)</f>
        <v>1</v>
      </c>
      <c r="BG63" s="204">
        <f>((('Rate Tables'!H14*$E63)*PersonCalcYr3!BE63)*$F63)*BF63</f>
        <v>0</v>
      </c>
      <c r="BH63" s="197">
        <f>AX63-BB63-BE63</f>
        <v>0</v>
      </c>
      <c r="BI63" s="197"/>
      <c r="BJ63" s="178"/>
      <c r="BK63" s="227"/>
      <c r="BL63" s="349"/>
      <c r="BM63" s="227"/>
      <c r="BN63" s="275"/>
      <c r="BO63" s="12"/>
    </row>
    <row r="64" spans="1:67" x14ac:dyDescent="0.25">
      <c r="A64" s="296"/>
      <c r="B64" s="116"/>
      <c r="C64" s="819" t="s">
        <v>732</v>
      </c>
      <c r="D64" s="178"/>
      <c r="E64" s="153" t="s">
        <v>16</v>
      </c>
      <c r="F64" s="153" t="s">
        <v>42</v>
      </c>
      <c r="G64" s="153" t="s">
        <v>41</v>
      </c>
      <c r="H64" s="183" t="s">
        <v>77</v>
      </c>
      <c r="I64" s="184" t="s">
        <v>90</v>
      </c>
      <c r="J64" s="185" t="s">
        <v>70</v>
      </c>
      <c r="K64" s="186" t="s">
        <v>109</v>
      </c>
      <c r="L64" s="153" t="s">
        <v>53</v>
      </c>
      <c r="M64" s="153" t="s">
        <v>82</v>
      </c>
      <c r="N64" s="153" t="s">
        <v>32</v>
      </c>
      <c r="O64" s="153" t="s">
        <v>69</v>
      </c>
      <c r="P64" s="153" t="s">
        <v>72</v>
      </c>
      <c r="Q64" s="183" t="s">
        <v>80</v>
      </c>
      <c r="R64" s="187" t="s">
        <v>81</v>
      </c>
      <c r="S64" s="183" t="s">
        <v>77</v>
      </c>
      <c r="T64" s="598" t="s">
        <v>83</v>
      </c>
      <c r="U64" s="185" t="s">
        <v>70</v>
      </c>
      <c r="V64" s="153" t="s">
        <v>92</v>
      </c>
      <c r="W64" s="153" t="s">
        <v>44</v>
      </c>
      <c r="X64" s="153" t="s">
        <v>78</v>
      </c>
      <c r="Y64" s="153" t="s">
        <v>68</v>
      </c>
      <c r="Z64" s="153" t="s">
        <v>33</v>
      </c>
      <c r="AA64" s="153" t="s">
        <v>69</v>
      </c>
      <c r="AB64" s="153" t="s">
        <v>72</v>
      </c>
      <c r="AC64" s="153" t="s">
        <v>80</v>
      </c>
      <c r="AD64" s="187" t="s">
        <v>81</v>
      </c>
      <c r="AE64" s="183" t="s">
        <v>77</v>
      </c>
      <c r="AF64" s="185" t="s">
        <v>70</v>
      </c>
      <c r="AG64" s="153" t="s">
        <v>94</v>
      </c>
      <c r="AH64" s="153" t="s">
        <v>45</v>
      </c>
      <c r="AI64" s="153" t="s">
        <v>79</v>
      </c>
      <c r="AJ64" s="153" t="s">
        <v>68</v>
      </c>
      <c r="AK64" s="153" t="s">
        <v>34</v>
      </c>
      <c r="AL64" s="153" t="s">
        <v>69</v>
      </c>
      <c r="AM64" s="153" t="s">
        <v>72</v>
      </c>
      <c r="AN64" s="153" t="s">
        <v>80</v>
      </c>
      <c r="AO64" s="187" t="s">
        <v>81</v>
      </c>
      <c r="AP64" s="183" t="s">
        <v>77</v>
      </c>
      <c r="AQ64" s="185" t="s">
        <v>70</v>
      </c>
      <c r="AR64" s="153" t="s">
        <v>94</v>
      </c>
      <c r="AS64" s="153" t="s">
        <v>45</v>
      </c>
      <c r="AT64" s="153" t="s">
        <v>79</v>
      </c>
      <c r="AU64" s="153" t="s">
        <v>68</v>
      </c>
      <c r="AV64" s="153" t="s">
        <v>34</v>
      </c>
      <c r="AW64" s="153" t="s">
        <v>69</v>
      </c>
      <c r="AX64" s="153" t="s">
        <v>72</v>
      </c>
      <c r="AY64" s="153" t="s">
        <v>80</v>
      </c>
      <c r="AZ64" s="187" t="s">
        <v>81</v>
      </c>
      <c r="BA64" s="183" t="s">
        <v>77</v>
      </c>
      <c r="BB64" s="185" t="s">
        <v>70</v>
      </c>
      <c r="BC64" s="153" t="s">
        <v>94</v>
      </c>
      <c r="BD64" s="153" t="s">
        <v>45</v>
      </c>
      <c r="BE64" s="153" t="s">
        <v>79</v>
      </c>
      <c r="BF64" s="153" t="s">
        <v>68</v>
      </c>
      <c r="BG64" s="153" t="s">
        <v>34</v>
      </c>
      <c r="BH64" s="153" t="s">
        <v>69</v>
      </c>
      <c r="BI64" s="197"/>
      <c r="BJ64" s="178"/>
      <c r="BK64" s="227"/>
      <c r="BL64" s="349"/>
      <c r="BM64" s="227"/>
      <c r="BN64" s="275"/>
      <c r="BO64" s="12"/>
    </row>
    <row r="65" spans="1:67" x14ac:dyDescent="0.25">
      <c r="A65" s="296"/>
      <c r="B65" s="116"/>
      <c r="C65" s="115"/>
      <c r="D65" s="178"/>
      <c r="E65" s="189">
        <f>BL57</f>
        <v>0</v>
      </c>
      <c r="F65" s="190">
        <f>IF($D$4=2025,1,0)</f>
        <v>0</v>
      </c>
      <c r="G65" s="178">
        <f>IF($B67="Yes",$C$5,$I67)</f>
        <v>12</v>
      </c>
      <c r="H65" s="191">
        <f>VLOOKUP(H66,'Lookup Tables'!$A$22:$B$33,2,FALSE)</f>
        <v>3</v>
      </c>
      <c r="I65" s="192">
        <f>VLOOKUP($E$4,'Lookup Tables'!$AB$46:$AN$58,MATCH($H65,'Lookup Tables'!$AB$46:$AN$46),FALSE)</f>
        <v>12</v>
      </c>
      <c r="J65" s="193">
        <f>VLOOKUP(H65,'Lookup Tables'!$A$3:$AA$16,MATCH(PersonCalcYr3!$G65,'Lookup Tables'!$A$3:$AA$3),FALSE)</f>
        <v>1.5161</v>
      </c>
      <c r="K65" s="194">
        <f>VLOOKUP($H66,'Lookup Tables'!$K$23:$L$34,2,FALSE)</f>
        <v>0</v>
      </c>
      <c r="L65" s="178">
        <f>IF(G65&lt;=K65,G65,K65)</f>
        <v>0</v>
      </c>
      <c r="M65" s="195">
        <f>IF(12-I65&gt;=1,1,0)</f>
        <v>0</v>
      </c>
      <c r="N65" s="196">
        <f>(('Rate Tables'!E14*PersonCalcYr3!E65)*PersonCalcYr3!L65)*PersonCalcYr3!F65*M65</f>
        <v>0</v>
      </c>
      <c r="O65" s="197">
        <f>G65-((J65+L65)*M65)</f>
        <v>12</v>
      </c>
      <c r="P65" s="197">
        <f>IF(O65&lt;0,O65*0,1)*O65</f>
        <v>12</v>
      </c>
      <c r="Q65" s="198">
        <f>H65+(L65*M65)+(J65*M65)</f>
        <v>3</v>
      </c>
      <c r="R65" s="199" t="str">
        <f>VLOOKUP(Q65,'Lookup Tables'!$A$38:$B$151,2,FALSE)</f>
        <v>Sept</v>
      </c>
      <c r="S65" s="191">
        <f>VLOOKUP(R65,'Lookup Tables'!$A$22:$B$33,2,FALSE)</f>
        <v>3</v>
      </c>
      <c r="T65" s="599">
        <f>VLOOKUP($E$4,'Lookup Tables'!$AB$63:$AN$75,MATCH(PersonCalcYr3!$S65,'Lookup Tables'!$AB$63:$AN$63),FALSE)</f>
        <v>0.5161</v>
      </c>
      <c r="U65" s="200">
        <f>VLOOKUP(S65,'Lookup Tables'!$A$3:$AA$16,MATCH(PersonCalcYr3!$P65,'Lookup Tables'!$A$3:$AA$3),FALSE)</f>
        <v>1.5161</v>
      </c>
      <c r="V65" s="496">
        <f>9-T65</f>
        <v>8.4839000000000002</v>
      </c>
      <c r="W65" s="201">
        <f>P65-U65</f>
        <v>10.4839</v>
      </c>
      <c r="X65" s="195">
        <f>IF(V65&lt;=W65,V65,W65)</f>
        <v>8.4839000000000002</v>
      </c>
      <c r="Y65" s="195">
        <f>IF(12-T65-U65-X65&gt;=0,1,0)</f>
        <v>1</v>
      </c>
      <c r="Z65" s="202">
        <f>((('Rate Tables'!F14*$E65)*PersonCalcYr3!$X65)*$F65)*Y65</f>
        <v>0</v>
      </c>
      <c r="AA65" s="197">
        <f>O65-(((U65*U67)+X65)*Y65)</f>
        <v>2</v>
      </c>
      <c r="AB65" s="197">
        <f>IF(AA65&lt;0,AA65*0,1)*AA65</f>
        <v>2</v>
      </c>
      <c r="AC65" s="601">
        <f>S65+(X65*Y65)+((U65*U67)*Y65)</f>
        <v>13</v>
      </c>
      <c r="AD65" s="199" t="str">
        <f>VLOOKUP(AC65,'Lookup Tables'!$A$38:$B$151,2,FALSE)</f>
        <v>July</v>
      </c>
      <c r="AE65" s="191">
        <f>VLOOKUP(AD65,'Lookup Tables'!$A$22:$B$33,2,FALSE)</f>
        <v>1</v>
      </c>
      <c r="AF65" s="200">
        <f>VLOOKUP(AE65,'Lookup Tables'!$A$3:$AA$16,MATCH(PersonCalcYr3!AB65,'Lookup Tables'!$A$3:$AA$3),FALSE)</f>
        <v>1.4839</v>
      </c>
      <c r="AG65" s="178">
        <v>9</v>
      </c>
      <c r="AH65" s="201">
        <f>AB65-AF65</f>
        <v>0.5161</v>
      </c>
      <c r="AI65" s="195">
        <f>IF(AG65&lt;=AH65,AG65,AH65)</f>
        <v>0.5161</v>
      </c>
      <c r="AJ65" s="195">
        <f>IF((AG65+AF65)&lt;=0,0,1)</f>
        <v>1</v>
      </c>
      <c r="AK65" s="204">
        <f>((('Rate Tables'!G14*$E65)*PersonCalcYr3!AI65)*$F65)*AJ65</f>
        <v>0</v>
      </c>
      <c r="AL65" s="197">
        <f>AB65-AF65-AI65</f>
        <v>0</v>
      </c>
      <c r="AM65" s="197">
        <f>IF(AL65&lt;0,AL65*0,1)*AL65</f>
        <v>0</v>
      </c>
      <c r="AN65" s="203">
        <f>AE65+(AI65*AJ65)+((AF65*AF67)*AJ65)</f>
        <v>3</v>
      </c>
      <c r="AO65" s="199" t="str">
        <f>VLOOKUP(AN65,'Lookup Tables'!$A$38:$B$151,2,FALSE)</f>
        <v>Sept</v>
      </c>
      <c r="AP65" s="191">
        <f>VLOOKUP(AO65,'Lookup Tables'!$A$22:$B$33,2,FALSE)</f>
        <v>3</v>
      </c>
      <c r="AQ65" s="200">
        <f>VLOOKUP(AP65,'Lookup Tables'!$A$3:$AA$16,MATCH(PersonCalcYr3!AM65,'Lookup Tables'!$A$3:$AA$3),FALSE)</f>
        <v>0</v>
      </c>
      <c r="AR65" s="178">
        <v>9</v>
      </c>
      <c r="AS65" s="201">
        <f>AM65-AQ65</f>
        <v>0</v>
      </c>
      <c r="AT65" s="195">
        <f>IF(AR65&lt;=AS65,AR65,AS65)</f>
        <v>0</v>
      </c>
      <c r="AU65" s="195">
        <f>IF((AR65+AQ65)&lt;=0,0,1)</f>
        <v>1</v>
      </c>
      <c r="AV65" s="204">
        <f>((('Rate Tables'!H14*$E65)*PersonCalcYr3!AT65)*$F65)*AU65</f>
        <v>0</v>
      </c>
      <c r="AW65" s="197">
        <f>AM65-AQ65-AT65</f>
        <v>0</v>
      </c>
      <c r="AX65" s="197">
        <f>IF(AW65&lt;0,AW65*0,1)*AW65</f>
        <v>0</v>
      </c>
      <c r="AY65" s="203">
        <f>AP65+(AT65*AU65)+((AQ65*AQ67)*AU65)</f>
        <v>3</v>
      </c>
      <c r="AZ65" s="199" t="str">
        <f>VLOOKUP(AY65,'Lookup Tables'!$A$38:$B$151,2,FALSE)</f>
        <v>Sept</v>
      </c>
      <c r="BA65" s="191">
        <f>VLOOKUP(AZ65,'Lookup Tables'!$A$22:$B$33,2,FALSE)</f>
        <v>3</v>
      </c>
      <c r="BB65" s="200">
        <f>VLOOKUP(BA65,'Lookup Tables'!$A$3:$AA$16,MATCH(PersonCalcYr3!AX65,'Lookup Tables'!$A$3:$AA$3),FALSE)</f>
        <v>0</v>
      </c>
      <c r="BC65" s="178">
        <v>9</v>
      </c>
      <c r="BD65" s="201">
        <f>AX65-BB65</f>
        <v>0</v>
      </c>
      <c r="BE65" s="195">
        <f>IF(BC65&lt;=BD65,BC65,BD65)</f>
        <v>0</v>
      </c>
      <c r="BF65" s="195">
        <f>IF((BC65+BB65)&lt;=0,0,1)</f>
        <v>1</v>
      </c>
      <c r="BG65" s="204">
        <f>((('Rate Tables'!I14*$E65)*PersonCalcYr3!BE65)*$F65)*BF65</f>
        <v>0</v>
      </c>
      <c r="BH65" s="197">
        <f>AX65-BB65-BE65</f>
        <v>0</v>
      </c>
      <c r="BI65" s="197"/>
      <c r="BJ65" s="178"/>
      <c r="BK65" s="227"/>
      <c r="BL65" s="349"/>
      <c r="BM65" s="227"/>
      <c r="BN65" s="275"/>
      <c r="BO65" s="12"/>
    </row>
    <row r="66" spans="1:67" x14ac:dyDescent="0.25">
      <c r="A66" s="296"/>
      <c r="B66" s="116"/>
      <c r="C66" s="115"/>
      <c r="D66" s="178"/>
      <c r="E66" s="205"/>
      <c r="F66" s="190"/>
      <c r="G66" s="178" t="s">
        <v>430</v>
      </c>
      <c r="H66" s="178" t="str">
        <f>IF(B67="yes",$C$4,A78)</f>
        <v>Sept</v>
      </c>
      <c r="I66" s="178"/>
      <c r="J66" s="178"/>
      <c r="K66" s="178"/>
      <c r="L66" s="178"/>
      <c r="M66" s="206"/>
      <c r="N66" s="207"/>
      <c r="O66" s="208"/>
      <c r="P66" s="190"/>
      <c r="Q66" s="190"/>
      <c r="R66" s="190"/>
      <c r="S66" s="190"/>
      <c r="T66" s="190"/>
      <c r="U66" s="178"/>
      <c r="V66" s="201"/>
      <c r="W66" s="201"/>
      <c r="X66" s="178"/>
      <c r="Y66" s="206"/>
      <c r="Z66" s="207"/>
      <c r="AA66" s="208"/>
      <c r="AB66" s="202"/>
      <c r="AC66" s="202"/>
      <c r="AD66" s="202"/>
      <c r="AE66" s="202"/>
      <c r="AF66" s="203"/>
      <c r="AG66" s="201"/>
      <c r="AH66" s="201"/>
      <c r="AI66" s="178"/>
      <c r="AJ66" s="206"/>
      <c r="AK66" s="207"/>
      <c r="AL66" s="208"/>
      <c r="AM66" s="202"/>
      <c r="AN66" s="202"/>
      <c r="AO66" s="202"/>
      <c r="AP66" s="202"/>
      <c r="AQ66" s="203"/>
      <c r="AR66" s="201"/>
      <c r="AS66" s="201"/>
      <c r="AT66" s="178"/>
      <c r="AU66" s="206"/>
      <c r="AV66" s="207"/>
      <c r="AW66" s="208"/>
      <c r="AX66" s="208"/>
      <c r="AY66" s="208"/>
      <c r="AZ66" s="208"/>
      <c r="BA66" s="208"/>
      <c r="BB66" s="208"/>
      <c r="BC66" s="208"/>
      <c r="BD66" s="208"/>
      <c r="BE66" s="208"/>
      <c r="BF66" s="208"/>
      <c r="BG66" s="208"/>
      <c r="BH66" s="202"/>
      <c r="BI66" s="202"/>
      <c r="BJ66" s="178"/>
      <c r="BK66" s="307" t="s">
        <v>450</v>
      </c>
      <c r="BL66" s="349">
        <f>IF(B57=0,0,1)</f>
        <v>1</v>
      </c>
      <c r="BM66" s="227"/>
      <c r="BN66" s="275"/>
      <c r="BO66" s="12"/>
    </row>
    <row r="67" spans="1:67" x14ac:dyDescent="0.25">
      <c r="A67" s="37" t="s">
        <v>431</v>
      </c>
      <c r="B67" s="820" t="str">
        <f>Personnel!U21</f>
        <v>YES</v>
      </c>
      <c r="C67" s="115"/>
      <c r="D67" s="178"/>
      <c r="E67" s="205"/>
      <c r="F67" s="190"/>
      <c r="G67" s="818" t="s">
        <v>665</v>
      </c>
      <c r="H67" s="11">
        <f>IF(H68&lt;$C$5,H68,$C$5)</f>
        <v>12</v>
      </c>
      <c r="I67" s="178">
        <f>IF(B78&lt;=H68,B78,H68)</f>
        <v>0</v>
      </c>
      <c r="J67" s="178"/>
      <c r="K67" s="178"/>
      <c r="L67" s="178"/>
      <c r="M67" s="178"/>
      <c r="N67" s="178"/>
      <c r="O67" s="178"/>
      <c r="P67" s="190"/>
      <c r="Q67" s="190"/>
      <c r="R67" s="190"/>
      <c r="S67" s="190"/>
      <c r="T67" s="605" t="s">
        <v>573</v>
      </c>
      <c r="U67" s="606">
        <f>VLOOKUP($E$4,'Lookup Tables'!$L$79:$X$91,MATCH(PersonCalcYr3!$S59,'Lookup Tables'!$L$79:$X$79),FALSE)</f>
        <v>1</v>
      </c>
      <c r="V67" s="201"/>
      <c r="W67" s="201"/>
      <c r="X67" s="201"/>
      <c r="Y67" s="195"/>
      <c r="Z67" s="195"/>
      <c r="AA67" s="202"/>
      <c r="AB67" s="202"/>
      <c r="AC67" s="202"/>
      <c r="AD67" s="202"/>
      <c r="AE67" s="605" t="s">
        <v>573</v>
      </c>
      <c r="AF67" s="714">
        <v>1</v>
      </c>
      <c r="AG67" s="201"/>
      <c r="AH67" s="201"/>
      <c r="AI67" s="201"/>
      <c r="AJ67" s="201"/>
      <c r="AK67" s="202"/>
      <c r="AL67" s="202"/>
      <c r="AM67" s="202"/>
      <c r="AN67" s="202"/>
      <c r="AO67" s="202"/>
      <c r="AP67" s="605" t="s">
        <v>573</v>
      </c>
      <c r="AQ67" s="714">
        <v>1</v>
      </c>
      <c r="AR67" s="201"/>
      <c r="AS67" s="201"/>
      <c r="AT67" s="201"/>
      <c r="AU67" s="201"/>
      <c r="AV67" s="202"/>
      <c r="AW67" s="202"/>
      <c r="AX67" s="202"/>
      <c r="AY67" s="202"/>
      <c r="AZ67" s="202"/>
      <c r="BA67" s="202"/>
      <c r="BB67" s="202"/>
      <c r="BC67" s="202"/>
      <c r="BD67" s="202"/>
      <c r="BE67" s="202"/>
      <c r="BF67" s="202"/>
      <c r="BG67" s="202"/>
      <c r="BH67" s="202"/>
      <c r="BI67" s="202"/>
      <c r="BJ67" s="178"/>
      <c r="BK67" s="748" t="s">
        <v>411</v>
      </c>
      <c r="BL67" s="460">
        <f>Personnel!W22</f>
        <v>10</v>
      </c>
      <c r="BM67" s="276" t="s">
        <v>117</v>
      </c>
      <c r="BN67" s="277">
        <f>(N70+W70+AJ70++AU70+BF70+N72+W72+AJ72+AU72+BF72+N74+W74+AJ74+AU74+BF74+N76+W76+AJ76+AU76+BF76)*BL66</f>
        <v>0</v>
      </c>
      <c r="BO67" s="224"/>
    </row>
    <row r="68" spans="1:67" x14ac:dyDescent="0.25">
      <c r="A68" s="296" t="s">
        <v>439</v>
      </c>
      <c r="B68" s="114" t="s">
        <v>427</v>
      </c>
      <c r="C68" s="114"/>
      <c r="D68" s="178"/>
      <c r="E68" s="178"/>
      <c r="F68" s="178"/>
      <c r="G68" s="818" t="s">
        <v>555</v>
      </c>
      <c r="H68" s="175">
        <f>VLOOKUP($E$4,'Lookup Tables'!$L$46:$AA$58,MATCH($H$59,'Lookup Tables'!$L$46:$X$46),FALSE)</f>
        <v>12</v>
      </c>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227"/>
      <c r="BL68" s="12"/>
      <c r="BM68" s="278" t="s">
        <v>96</v>
      </c>
      <c r="BN68" s="279">
        <f>BN57+BN67</f>
        <v>0</v>
      </c>
      <c r="BO68" s="369"/>
    </row>
    <row r="69" spans="1:67" x14ac:dyDescent="0.25">
      <c r="A69" s="296"/>
      <c r="B69" s="116"/>
      <c r="C69" s="117" t="s">
        <v>30</v>
      </c>
      <c r="D69" s="178"/>
      <c r="E69" s="153" t="s">
        <v>84</v>
      </c>
      <c r="F69" s="153" t="s">
        <v>42</v>
      </c>
      <c r="G69" s="153" t="s">
        <v>41</v>
      </c>
      <c r="H69" s="183" t="s">
        <v>77</v>
      </c>
      <c r="I69" s="209" t="s">
        <v>101</v>
      </c>
      <c r="J69" s="210" t="s">
        <v>102</v>
      </c>
      <c r="K69" s="153" t="s">
        <v>98</v>
      </c>
      <c r="L69" s="153" t="s">
        <v>100</v>
      </c>
      <c r="M69" s="153" t="s">
        <v>82</v>
      </c>
      <c r="N69" s="153" t="s">
        <v>31</v>
      </c>
      <c r="O69" s="153" t="s">
        <v>69</v>
      </c>
      <c r="P69" s="153" t="s">
        <v>72</v>
      </c>
      <c r="Q69" s="153" t="s">
        <v>103</v>
      </c>
      <c r="R69" s="183" t="s">
        <v>77</v>
      </c>
      <c r="S69" s="209" t="s">
        <v>101</v>
      </c>
      <c r="T69" s="210" t="s">
        <v>102</v>
      </c>
      <c r="U69" s="178" t="s">
        <v>98</v>
      </c>
      <c r="V69" s="153" t="s">
        <v>100</v>
      </c>
      <c r="W69" s="153" t="s">
        <v>32</v>
      </c>
      <c r="X69" s="153" t="s">
        <v>69</v>
      </c>
      <c r="Y69" s="153"/>
      <c r="Z69" s="153"/>
      <c r="AA69" s="178"/>
      <c r="AB69" s="153" t="s">
        <v>72</v>
      </c>
      <c r="AC69" s="153" t="s">
        <v>103</v>
      </c>
      <c r="AD69" s="153"/>
      <c r="AE69" s="183" t="s">
        <v>77</v>
      </c>
      <c r="AF69" s="209" t="s">
        <v>101</v>
      </c>
      <c r="AG69" s="210" t="s">
        <v>102</v>
      </c>
      <c r="AH69" s="178" t="s">
        <v>98</v>
      </c>
      <c r="AI69" s="153" t="s">
        <v>100</v>
      </c>
      <c r="AJ69" s="153" t="s">
        <v>33</v>
      </c>
      <c r="AK69" s="153" t="s">
        <v>69</v>
      </c>
      <c r="AL69" s="178"/>
      <c r="AM69" s="153" t="s">
        <v>72</v>
      </c>
      <c r="AN69" s="153" t="s">
        <v>103</v>
      </c>
      <c r="AO69" s="153"/>
      <c r="AP69" s="183" t="s">
        <v>77</v>
      </c>
      <c r="AQ69" s="209" t="s">
        <v>101</v>
      </c>
      <c r="AR69" s="210" t="s">
        <v>102</v>
      </c>
      <c r="AS69" s="178" t="s">
        <v>98</v>
      </c>
      <c r="AT69" s="153" t="s">
        <v>100</v>
      </c>
      <c r="AU69" s="153" t="s">
        <v>33</v>
      </c>
      <c r="AV69" s="153" t="s">
        <v>69</v>
      </c>
      <c r="AW69" s="178"/>
      <c r="AX69" s="153" t="s">
        <v>72</v>
      </c>
      <c r="AY69" s="153" t="s">
        <v>103</v>
      </c>
      <c r="AZ69" s="153"/>
      <c r="BA69" s="183" t="s">
        <v>77</v>
      </c>
      <c r="BB69" s="209" t="s">
        <v>101</v>
      </c>
      <c r="BC69" s="210" t="s">
        <v>102</v>
      </c>
      <c r="BD69" s="178" t="s">
        <v>98</v>
      </c>
      <c r="BE69" s="153" t="s">
        <v>100</v>
      </c>
      <c r="BF69" s="153" t="s">
        <v>33</v>
      </c>
      <c r="BG69" s="153" t="s">
        <v>69</v>
      </c>
      <c r="BH69" s="153"/>
      <c r="BI69" s="153"/>
      <c r="BJ69" s="178"/>
      <c r="BK69" s="276" t="s">
        <v>95</v>
      </c>
      <c r="BL69" s="12"/>
      <c r="BM69" s="227"/>
      <c r="BN69" s="275"/>
      <c r="BO69" s="12"/>
    </row>
    <row r="70" spans="1:67" x14ac:dyDescent="0.25">
      <c r="A70" s="296"/>
      <c r="B70" s="116"/>
      <c r="C70" s="115"/>
      <c r="D70" s="178"/>
      <c r="E70" s="211">
        <f>IF(H77&lt;=H78,H77,H78)</f>
        <v>10</v>
      </c>
      <c r="F70" s="190">
        <f>IF($D$4=2022,1,0)</f>
        <v>0</v>
      </c>
      <c r="G70" s="178">
        <f>IF($B67="Yes",$C$5,$I67)</f>
        <v>12</v>
      </c>
      <c r="H70" s="492">
        <f>H59</f>
        <v>3</v>
      </c>
      <c r="I70" s="212">
        <f>VLOOKUP(J59,'Lookup Tables'!$AB$22:$AC$31,2,FALSE)</f>
        <v>32</v>
      </c>
      <c r="J70" s="213">
        <f>VLOOKUP(U59,'Lookup Tables'!$AB$32:$AC$41,2,FALSE)</f>
        <v>33</v>
      </c>
      <c r="K70" s="203">
        <f>E70-J70</f>
        <v>-23</v>
      </c>
      <c r="L70" s="178">
        <f>IF(K70&gt;0,1,0)</f>
        <v>0</v>
      </c>
      <c r="M70" s="195">
        <f>M59</f>
        <v>0</v>
      </c>
      <c r="N70" s="196">
        <f>((((('Rate Tables'!B14*9)*0.02778)/5)*K70)*L70)*F70*M70</f>
        <v>0</v>
      </c>
      <c r="O70" s="197">
        <f>O59</f>
        <v>12</v>
      </c>
      <c r="P70" s="197">
        <f>IF(O70&lt;0,O70*0,1)*O70</f>
        <v>12</v>
      </c>
      <c r="Q70" s="203">
        <f>(E70-K70*F70*L70*M70)</f>
        <v>10</v>
      </c>
      <c r="R70" s="191">
        <f>S59</f>
        <v>3</v>
      </c>
      <c r="S70" s="212">
        <f>VLOOKUP(U59,'Lookup Tables'!$AB$22:$AC$31,2,FALSE)</f>
        <v>32</v>
      </c>
      <c r="T70" s="213">
        <f>VLOOKUP(AF59,'Lookup Tables'!$AB$32:$AC$41,2,FALSE)</f>
        <v>33</v>
      </c>
      <c r="U70" s="206">
        <f>Q70-T70</f>
        <v>-23</v>
      </c>
      <c r="V70" s="178">
        <f>IF(U70&gt;0,1,0)</f>
        <v>0</v>
      </c>
      <c r="W70" s="196">
        <f>((('Rate Tables'!C14*9)*0.02778)/5)*U70*F70*V70</f>
        <v>0</v>
      </c>
      <c r="X70" s="197">
        <f>AA59</f>
        <v>2</v>
      </c>
      <c r="Y70" s="178"/>
      <c r="Z70" s="195"/>
      <c r="AA70" s="178"/>
      <c r="AB70" s="197">
        <f>IF(X70&lt;0,X70*0,1)*X70</f>
        <v>2</v>
      </c>
      <c r="AC70" s="203">
        <f>Q70-(U70*V70)</f>
        <v>10</v>
      </c>
      <c r="AD70" s="178"/>
      <c r="AE70" s="191">
        <f>AE59</f>
        <v>1</v>
      </c>
      <c r="AF70" s="212">
        <f>VLOOKUP(AF59,'Lookup Tables'!$AB$22:$AC$31,2,FALSE)</f>
        <v>32</v>
      </c>
      <c r="AG70" s="213">
        <f>VLOOKUP(AQ59,'Lookup Tables'!$AB$32:$AC$41,2,FALSE)</f>
        <v>0</v>
      </c>
      <c r="AH70" s="208">
        <f>AC70-AG70</f>
        <v>10</v>
      </c>
      <c r="AI70" s="178">
        <f>IF(AH70&gt;0,1,0)</f>
        <v>1</v>
      </c>
      <c r="AJ70" s="196">
        <f>((('Rate Tables'!D14*9)*0.02778)/5)*AH70*AI70*F70</f>
        <v>0</v>
      </c>
      <c r="AK70" s="197">
        <f>AL59</f>
        <v>0</v>
      </c>
      <c r="AL70" s="178"/>
      <c r="AM70" s="197">
        <f>IF(AK70&lt;0,AK70*0,1)*AK70</f>
        <v>0</v>
      </c>
      <c r="AN70" s="203">
        <f>AC70-(AH70*AI70)</f>
        <v>0</v>
      </c>
      <c r="AO70" s="178"/>
      <c r="AP70" s="821">
        <f>AP59</f>
        <v>3</v>
      </c>
      <c r="AQ70" s="212">
        <f>VLOOKUP(AQ59,'Lookup Tables'!$AB$22:$AC$31,2,FALSE)</f>
        <v>0</v>
      </c>
      <c r="AR70" s="213">
        <f>VLOOKUP(BB59,'Lookup Tables'!$AB$32:$AC$41,2,FALSE)</f>
        <v>0</v>
      </c>
      <c r="AS70" s="208">
        <f>AN70-AR70</f>
        <v>0</v>
      </c>
      <c r="AT70" s="178">
        <f>IF(AS70&gt;0,1,0)</f>
        <v>0</v>
      </c>
      <c r="AU70" s="196">
        <f>((('Rate Tables'!E14*9)*0.02778)/5)*AS70*AT70*F70</f>
        <v>0</v>
      </c>
      <c r="AV70" s="197">
        <f>AW59</f>
        <v>0</v>
      </c>
      <c r="AW70" s="178"/>
      <c r="AX70" s="197">
        <f>IF(AV70&lt;0,AV70*0,1)*AV70</f>
        <v>0</v>
      </c>
      <c r="AY70" s="203">
        <f>AN70-(AS70*AT70)</f>
        <v>0</v>
      </c>
      <c r="AZ70" s="178"/>
      <c r="BA70" s="821">
        <f>BA59</f>
        <v>3</v>
      </c>
      <c r="BB70" s="212">
        <f>VLOOKUP(BB59,'Lookup Tables'!$AB$22:$AC$31,2,FALSE)</f>
        <v>0</v>
      </c>
      <c r="BC70" s="213">
        <v>0</v>
      </c>
      <c r="BD70" s="208">
        <f>AY70-BC70</f>
        <v>0</v>
      </c>
      <c r="BE70" s="178">
        <f>IF(BD70&gt;0,1,0)</f>
        <v>0</v>
      </c>
      <c r="BF70" s="196">
        <f>((('Rate Tables'!F14*9)*0.02778)/5)*BD70*BE70*F70</f>
        <v>0</v>
      </c>
      <c r="BG70" s="197">
        <f>BH59</f>
        <v>0</v>
      </c>
      <c r="BH70" s="197"/>
      <c r="BI70" s="197"/>
      <c r="BJ70" s="178"/>
      <c r="BK70" s="716">
        <f>BL67</f>
        <v>10</v>
      </c>
      <c r="BL70" s="225"/>
      <c r="BM70" s="227"/>
      <c r="BN70" s="275"/>
      <c r="BO70" s="12" t="s">
        <v>418</v>
      </c>
    </row>
    <row r="71" spans="1:67" x14ac:dyDescent="0.25">
      <c r="A71" s="296"/>
      <c r="B71" s="116"/>
      <c r="C71" s="117" t="s">
        <v>597</v>
      </c>
      <c r="D71" s="178"/>
      <c r="E71" s="153" t="s">
        <v>84</v>
      </c>
      <c r="F71" s="153" t="s">
        <v>42</v>
      </c>
      <c r="G71" s="153" t="s">
        <v>41</v>
      </c>
      <c r="H71" s="183" t="s">
        <v>77</v>
      </c>
      <c r="I71" s="209" t="s">
        <v>105</v>
      </c>
      <c r="J71" s="210" t="s">
        <v>106</v>
      </c>
      <c r="K71" s="153" t="s">
        <v>99</v>
      </c>
      <c r="L71" s="153" t="s">
        <v>100</v>
      </c>
      <c r="M71" s="153" t="s">
        <v>82</v>
      </c>
      <c r="N71" s="153" t="s">
        <v>32</v>
      </c>
      <c r="O71" s="153" t="s">
        <v>69</v>
      </c>
      <c r="P71" s="153" t="s">
        <v>72</v>
      </c>
      <c r="Q71" s="153" t="s">
        <v>103</v>
      </c>
      <c r="R71" s="183" t="s">
        <v>77</v>
      </c>
      <c r="S71" s="209" t="s">
        <v>105</v>
      </c>
      <c r="T71" s="210" t="s">
        <v>106</v>
      </c>
      <c r="U71" s="178" t="s">
        <v>98</v>
      </c>
      <c r="V71" s="153" t="s">
        <v>100</v>
      </c>
      <c r="W71" s="153" t="s">
        <v>33</v>
      </c>
      <c r="X71" s="153" t="s">
        <v>69</v>
      </c>
      <c r="Y71" s="153"/>
      <c r="Z71" s="153"/>
      <c r="AA71" s="178"/>
      <c r="AB71" s="153" t="s">
        <v>72</v>
      </c>
      <c r="AC71" s="153" t="s">
        <v>104</v>
      </c>
      <c r="AD71" s="153"/>
      <c r="AE71" s="183" t="s">
        <v>77</v>
      </c>
      <c r="AF71" s="209" t="s">
        <v>105</v>
      </c>
      <c r="AG71" s="210" t="s">
        <v>106</v>
      </c>
      <c r="AH71" s="178" t="s">
        <v>98</v>
      </c>
      <c r="AI71" s="153" t="s">
        <v>100</v>
      </c>
      <c r="AJ71" s="153" t="s">
        <v>34</v>
      </c>
      <c r="AK71" s="153" t="s">
        <v>69</v>
      </c>
      <c r="AL71" s="178"/>
      <c r="AM71" s="153" t="s">
        <v>72</v>
      </c>
      <c r="AN71" s="153" t="s">
        <v>104</v>
      </c>
      <c r="AO71" s="153"/>
      <c r="AP71" s="183" t="s">
        <v>77</v>
      </c>
      <c r="AQ71" s="209" t="s">
        <v>105</v>
      </c>
      <c r="AR71" s="210" t="s">
        <v>106</v>
      </c>
      <c r="AS71" s="178" t="s">
        <v>98</v>
      </c>
      <c r="AT71" s="153" t="s">
        <v>100</v>
      </c>
      <c r="AU71" s="153" t="s">
        <v>34</v>
      </c>
      <c r="AV71" s="153" t="s">
        <v>69</v>
      </c>
      <c r="AW71" s="178"/>
      <c r="AX71" s="153" t="s">
        <v>72</v>
      </c>
      <c r="AY71" s="153" t="s">
        <v>104</v>
      </c>
      <c r="AZ71" s="153"/>
      <c r="BA71" s="183" t="s">
        <v>77</v>
      </c>
      <c r="BB71" s="209" t="s">
        <v>105</v>
      </c>
      <c r="BC71" s="210" t="s">
        <v>106</v>
      </c>
      <c r="BD71" s="178" t="s">
        <v>98</v>
      </c>
      <c r="BE71" s="153" t="s">
        <v>100</v>
      </c>
      <c r="BF71" s="153" t="s">
        <v>34</v>
      </c>
      <c r="BG71" s="153" t="s">
        <v>69</v>
      </c>
      <c r="BH71" s="178"/>
      <c r="BI71" s="178"/>
      <c r="BJ71" s="178"/>
      <c r="BK71" s="227"/>
      <c r="BL71" s="224"/>
      <c r="BM71" s="227" t="s">
        <v>451</v>
      </c>
      <c r="BN71" s="275">
        <f>(VLOOKUP($B57,'Rate Tables'!$O$2:$P$8,2,FALSE))</f>
        <v>0.2697</v>
      </c>
      <c r="BO71" s="372">
        <f>VLOOKUP('F&amp;ARatesCalc'!$B$1,'F&amp;ARatesCalc'!$A$3:$B$5,2,FALSE)</f>
        <v>0.56999999999999995</v>
      </c>
    </row>
    <row r="72" spans="1:67" x14ac:dyDescent="0.25">
      <c r="A72" s="296"/>
      <c r="B72" s="116"/>
      <c r="C72" s="115"/>
      <c r="D72" s="178"/>
      <c r="E72" s="211">
        <f>E70</f>
        <v>10</v>
      </c>
      <c r="F72" s="190">
        <f>IF($D$4=2023,1,0)</f>
        <v>0</v>
      </c>
      <c r="G72" s="178">
        <f>IF($B67="Yes",$C$5,$I67)</f>
        <v>12</v>
      </c>
      <c r="H72" s="191">
        <f>H61</f>
        <v>3</v>
      </c>
      <c r="I72" s="212">
        <f>VLOOKUP(J61,'Lookup Tables'!$AB$22:$AC$31,2,FALSE)</f>
        <v>32</v>
      </c>
      <c r="J72" s="213">
        <f>VLOOKUP(U61,'Lookup Tables'!$AB$32:$AC$41,2,FALSE)</f>
        <v>33</v>
      </c>
      <c r="K72" s="203">
        <f>E72-J72</f>
        <v>-23</v>
      </c>
      <c r="L72" s="178">
        <f>IF(K72&gt;0,1,0)</f>
        <v>0</v>
      </c>
      <c r="M72" s="195">
        <f>M61</f>
        <v>0</v>
      </c>
      <c r="N72" s="196">
        <f>((((('Rate Tables'!C14*9)*0.02778)/5)*K72)*L72)*F72*M72</f>
        <v>0</v>
      </c>
      <c r="O72" s="197">
        <f>O61</f>
        <v>12</v>
      </c>
      <c r="P72" s="197">
        <f>IF(O72&lt;0,O72*0,1)*O72</f>
        <v>12</v>
      </c>
      <c r="Q72" s="203">
        <f>(E72-K72*F72*L72*M72)</f>
        <v>10</v>
      </c>
      <c r="R72" s="191">
        <f>S61</f>
        <v>3</v>
      </c>
      <c r="S72" s="212">
        <f>VLOOKUP(U61,'Lookup Tables'!$AB$22:$AC$31,2,FALSE)</f>
        <v>32</v>
      </c>
      <c r="T72" s="213">
        <f>VLOOKUP(AF61,'Lookup Tables'!$AB$32:$AC$41,2,FALSE)</f>
        <v>33</v>
      </c>
      <c r="U72" s="206">
        <f>Q72-T72</f>
        <v>-23</v>
      </c>
      <c r="V72" s="178">
        <f>IF(U72&gt;0,1,0)</f>
        <v>0</v>
      </c>
      <c r="W72" s="196">
        <f>((('Rate Tables'!D14*9)*0.02778)/5)*U72*F72*V72</f>
        <v>0</v>
      </c>
      <c r="X72" s="197">
        <f>AA61</f>
        <v>2</v>
      </c>
      <c r="Y72" s="178"/>
      <c r="Z72" s="195"/>
      <c r="AA72" s="178"/>
      <c r="AB72" s="197">
        <f>IF(X72&lt;0,X72*0,1)*X72</f>
        <v>2</v>
      </c>
      <c r="AC72" s="203">
        <f>Q72-(U72*V72)</f>
        <v>10</v>
      </c>
      <c r="AD72" s="178"/>
      <c r="AE72" s="191">
        <f>AE61</f>
        <v>1</v>
      </c>
      <c r="AF72" s="212">
        <f>VLOOKUP(AF61,'Lookup Tables'!$AB$22:$AC$31,2,FALSE)</f>
        <v>32</v>
      </c>
      <c r="AG72" s="213">
        <f>VLOOKUP(AQ61,'Lookup Tables'!$AB$32:$AC$41,2,FALSE)</f>
        <v>0</v>
      </c>
      <c r="AH72" s="208">
        <f>AC72-AG72</f>
        <v>10</v>
      </c>
      <c r="AI72" s="178">
        <f>IF(AH72&gt;0,1,0)</f>
        <v>1</v>
      </c>
      <c r="AJ72" s="196">
        <f>((('Rate Tables'!E14*9)*0.02778)/5)*AH72*AI72*F72</f>
        <v>0</v>
      </c>
      <c r="AK72" s="197">
        <f>AL61</f>
        <v>0</v>
      </c>
      <c r="AL72" s="178"/>
      <c r="AM72" s="197">
        <f>IF(AK72&lt;0,AK72*0,1)*AK72</f>
        <v>0</v>
      </c>
      <c r="AN72" s="203">
        <f>AC72-(AH72*AI72)</f>
        <v>0</v>
      </c>
      <c r="AO72" s="178"/>
      <c r="AP72" s="191">
        <f>AP61</f>
        <v>3</v>
      </c>
      <c r="AQ72" s="212">
        <f>VLOOKUP(AQ61,'Lookup Tables'!$AB$22:$AC$31,2,FALSE)</f>
        <v>0</v>
      </c>
      <c r="AR72" s="213">
        <f>VLOOKUP(BB61,'Lookup Tables'!$AB$32:$AC$41,2,FALSE)</f>
        <v>0</v>
      </c>
      <c r="AS72" s="208">
        <f>AN72-AR72</f>
        <v>0</v>
      </c>
      <c r="AT72" s="178">
        <f>IF(AS72&gt;0,1,0)</f>
        <v>0</v>
      </c>
      <c r="AU72" s="196">
        <f>((('Rate Tables'!F14*9)*0.02778)/5)*AS72*AT72*F72</f>
        <v>0</v>
      </c>
      <c r="AV72" s="197">
        <f>AW61</f>
        <v>0</v>
      </c>
      <c r="AW72" s="178"/>
      <c r="AX72" s="197">
        <f>IF(AV72&lt;0,AV72*0,1)*AV72</f>
        <v>0</v>
      </c>
      <c r="AY72" s="203">
        <f>AN72-(AS72*AT72)</f>
        <v>0</v>
      </c>
      <c r="AZ72" s="178"/>
      <c r="BA72" s="191">
        <f>BA61</f>
        <v>3</v>
      </c>
      <c r="BB72" s="212">
        <f>VLOOKUP(BB61,'Lookup Tables'!$AB$22:$AC$31,2,FALSE)</f>
        <v>0</v>
      </c>
      <c r="BC72" s="213">
        <v>0</v>
      </c>
      <c r="BD72" s="208">
        <f>AY72-BC72</f>
        <v>0</v>
      </c>
      <c r="BE72" s="178">
        <f>IF(BD72&gt;0,1,0)</f>
        <v>0</v>
      </c>
      <c r="BF72" s="196">
        <f>((('Rate Tables'!G14*9)*0.02778)/5)*BD72*BE72*F72</f>
        <v>0</v>
      </c>
      <c r="BG72" s="197">
        <f>BH61</f>
        <v>0</v>
      </c>
      <c r="BH72" s="178"/>
      <c r="BI72" s="178"/>
      <c r="BJ72" s="178"/>
      <c r="BK72" s="227"/>
      <c r="BL72" s="12"/>
      <c r="BM72" s="227" t="s">
        <v>452</v>
      </c>
      <c r="BN72" s="275">
        <f>_xlfn.IFNA(BN71,0)</f>
        <v>0.2697</v>
      </c>
      <c r="BO72" s="12" t="s">
        <v>417</v>
      </c>
    </row>
    <row r="73" spans="1:67" x14ac:dyDescent="0.25">
      <c r="A73" s="296"/>
      <c r="B73" s="116"/>
      <c r="C73" s="117" t="s">
        <v>664</v>
      </c>
      <c r="D73" s="178"/>
      <c r="E73" s="153" t="s">
        <v>84</v>
      </c>
      <c r="F73" s="153" t="s">
        <v>42</v>
      </c>
      <c r="G73" s="153" t="s">
        <v>41</v>
      </c>
      <c r="H73" s="183" t="s">
        <v>77</v>
      </c>
      <c r="I73" s="209" t="s">
        <v>105</v>
      </c>
      <c r="J73" s="210" t="s">
        <v>106</v>
      </c>
      <c r="K73" s="153" t="s">
        <v>99</v>
      </c>
      <c r="L73" s="153" t="s">
        <v>100</v>
      </c>
      <c r="M73" s="153" t="s">
        <v>82</v>
      </c>
      <c r="N73" s="153" t="s">
        <v>32</v>
      </c>
      <c r="O73" s="153" t="s">
        <v>69</v>
      </c>
      <c r="P73" s="153" t="s">
        <v>72</v>
      </c>
      <c r="Q73" s="153" t="s">
        <v>103</v>
      </c>
      <c r="R73" s="183" t="s">
        <v>77</v>
      </c>
      <c r="S73" s="209" t="s">
        <v>105</v>
      </c>
      <c r="T73" s="210" t="s">
        <v>106</v>
      </c>
      <c r="U73" s="178" t="s">
        <v>98</v>
      </c>
      <c r="V73" s="153" t="s">
        <v>100</v>
      </c>
      <c r="W73" s="153" t="s">
        <v>33</v>
      </c>
      <c r="X73" s="153" t="s">
        <v>69</v>
      </c>
      <c r="Y73" s="153"/>
      <c r="Z73" s="153"/>
      <c r="AA73" s="178"/>
      <c r="AB73" s="153" t="s">
        <v>72</v>
      </c>
      <c r="AC73" s="153" t="s">
        <v>104</v>
      </c>
      <c r="AD73" s="153"/>
      <c r="AE73" s="183" t="s">
        <v>77</v>
      </c>
      <c r="AF73" s="209" t="s">
        <v>105</v>
      </c>
      <c r="AG73" s="210" t="s">
        <v>106</v>
      </c>
      <c r="AH73" s="178" t="s">
        <v>98</v>
      </c>
      <c r="AI73" s="153" t="s">
        <v>100</v>
      </c>
      <c r="AJ73" s="153" t="s">
        <v>34</v>
      </c>
      <c r="AK73" s="153" t="s">
        <v>69</v>
      </c>
      <c r="AL73" s="178"/>
      <c r="AM73" s="153" t="s">
        <v>72</v>
      </c>
      <c r="AN73" s="153" t="s">
        <v>104</v>
      </c>
      <c r="AO73" s="153"/>
      <c r="AP73" s="183" t="s">
        <v>77</v>
      </c>
      <c r="AQ73" s="209" t="s">
        <v>105</v>
      </c>
      <c r="AR73" s="210" t="s">
        <v>106</v>
      </c>
      <c r="AS73" s="178" t="s">
        <v>98</v>
      </c>
      <c r="AT73" s="153" t="s">
        <v>100</v>
      </c>
      <c r="AU73" s="153" t="s">
        <v>34</v>
      </c>
      <c r="AV73" s="153" t="s">
        <v>69</v>
      </c>
      <c r="AW73" s="178"/>
      <c r="AX73" s="153" t="s">
        <v>72</v>
      </c>
      <c r="AY73" s="153" t="s">
        <v>104</v>
      </c>
      <c r="AZ73" s="153"/>
      <c r="BA73" s="183" t="s">
        <v>77</v>
      </c>
      <c r="BB73" s="209" t="s">
        <v>105</v>
      </c>
      <c r="BC73" s="210" t="s">
        <v>106</v>
      </c>
      <c r="BD73" s="178" t="s">
        <v>98</v>
      </c>
      <c r="BE73" s="153" t="s">
        <v>100</v>
      </c>
      <c r="BF73" s="153" t="s">
        <v>34</v>
      </c>
      <c r="BG73" s="153" t="s">
        <v>69</v>
      </c>
      <c r="BH73" s="178"/>
      <c r="BI73" s="178"/>
      <c r="BJ73" s="178"/>
      <c r="BK73" s="227"/>
      <c r="BL73" s="12"/>
      <c r="BM73" s="227"/>
      <c r="BN73" s="275"/>
      <c r="BO73" s="12"/>
    </row>
    <row r="74" spans="1:67" x14ac:dyDescent="0.25">
      <c r="A74" s="296"/>
      <c r="B74" s="116"/>
      <c r="C74" s="115"/>
      <c r="D74" s="178"/>
      <c r="E74" s="211">
        <f>E72</f>
        <v>10</v>
      </c>
      <c r="F74" s="190">
        <f>IF($D$4=2024,1,0)</f>
        <v>1</v>
      </c>
      <c r="G74" s="178">
        <f>IF($B67="Yes",$C$5,$I67)</f>
        <v>12</v>
      </c>
      <c r="H74" s="191">
        <f>H63</f>
        <v>3</v>
      </c>
      <c r="I74" s="212">
        <f>VLOOKUP(J63,'Lookup Tables'!$AB$22:$AC$31,2,FALSE)</f>
        <v>32</v>
      </c>
      <c r="J74" s="213">
        <f>VLOOKUP(U63,'Lookup Tables'!$AB$32:$AC$41,2,FALSE)</f>
        <v>33</v>
      </c>
      <c r="K74" s="203">
        <f>E74-J74</f>
        <v>-23</v>
      </c>
      <c r="L74" s="178">
        <f>IF(K74&gt;0,1,0)</f>
        <v>0</v>
      </c>
      <c r="M74" s="195">
        <f>M63</f>
        <v>0</v>
      </c>
      <c r="N74" s="196">
        <f>((((('Rate Tables'!D14*9)*0.02778)/5)*K74)*L74)*F74*M74</f>
        <v>0</v>
      </c>
      <c r="O74" s="197">
        <f>O63</f>
        <v>12</v>
      </c>
      <c r="P74" s="197">
        <f>IF(O74&lt;0,O74*0,1)*O74</f>
        <v>12</v>
      </c>
      <c r="Q74" s="203">
        <f>(E74-K74*F74*L74*M74)</f>
        <v>10</v>
      </c>
      <c r="R74" s="191">
        <f>S63</f>
        <v>3</v>
      </c>
      <c r="S74" s="212">
        <f>VLOOKUP(U63,'Lookup Tables'!$AB$22:$AC$31,2,FALSE)</f>
        <v>32</v>
      </c>
      <c r="T74" s="213">
        <f>VLOOKUP(AF63,'Lookup Tables'!$AB$32:$AC$41,2,FALSE)</f>
        <v>33</v>
      </c>
      <c r="U74" s="206">
        <f>Q74-T74</f>
        <v>-23</v>
      </c>
      <c r="V74" s="178">
        <f>IF(U74&gt;0,1,0)</f>
        <v>0</v>
      </c>
      <c r="W74" s="196">
        <f>((('Rate Tables'!E14*9)*0.02778)/5)*U74*F74*V74</f>
        <v>0</v>
      </c>
      <c r="X74" s="197">
        <f>AA63</f>
        <v>2</v>
      </c>
      <c r="Y74" s="178"/>
      <c r="Z74" s="195"/>
      <c r="AA74" s="178"/>
      <c r="AB74" s="197">
        <f>IF(X74&lt;0,X74*0,1)*X74</f>
        <v>2</v>
      </c>
      <c r="AC74" s="203">
        <f>Q74-(U74*V74)</f>
        <v>10</v>
      </c>
      <c r="AD74" s="178"/>
      <c r="AE74" s="191">
        <f>AE63</f>
        <v>1</v>
      </c>
      <c r="AF74" s="212">
        <f>VLOOKUP(AF63,'Lookup Tables'!$AB$22:$AC$31,2,FALSE)</f>
        <v>32</v>
      </c>
      <c r="AG74" s="213">
        <f>VLOOKUP(AQ63,'Lookup Tables'!$AB$32:$AC$41,2,FALSE)</f>
        <v>0</v>
      </c>
      <c r="AH74" s="208">
        <f>AC74-AG74</f>
        <v>10</v>
      </c>
      <c r="AI74" s="178">
        <f>IF(AH74&gt;0,1,0)</f>
        <v>1</v>
      </c>
      <c r="AJ74" s="196">
        <f>((('Rate Tables'!F14*9)*0.02778)/5)*AH74*AI74*F74</f>
        <v>0</v>
      </c>
      <c r="AK74" s="197">
        <f>AL63</f>
        <v>0</v>
      </c>
      <c r="AL74" s="178"/>
      <c r="AM74" s="197">
        <f>IF(AK74&lt;0,AK74*0,1)*AK74</f>
        <v>0</v>
      </c>
      <c r="AN74" s="203">
        <f>AC74-(AH74*AI74)</f>
        <v>0</v>
      </c>
      <c r="AO74" s="178"/>
      <c r="AP74" s="191">
        <f>AP63</f>
        <v>3</v>
      </c>
      <c r="AQ74" s="212">
        <f>VLOOKUP(AQ63,'Lookup Tables'!$AB$22:$AC$31,2,FALSE)</f>
        <v>0</v>
      </c>
      <c r="AR74" s="213">
        <f>VLOOKUP(BB63,'Lookup Tables'!$AB$32:$AC$41,2,FALSE)</f>
        <v>0</v>
      </c>
      <c r="AS74" s="208">
        <f>AN74-AR74</f>
        <v>0</v>
      </c>
      <c r="AT74" s="178">
        <f>IF(AS74&gt;0,1,0)</f>
        <v>0</v>
      </c>
      <c r="AU74" s="196">
        <f>((('Rate Tables'!G14*9)*0.02778)/5)*AS74*AT74*F74</f>
        <v>0</v>
      </c>
      <c r="AV74" s="197">
        <f>AW63</f>
        <v>0</v>
      </c>
      <c r="AW74" s="178"/>
      <c r="AX74" s="197">
        <f>IF(AV74&lt;0,AV74*0,1)*AV74</f>
        <v>0</v>
      </c>
      <c r="AY74" s="203">
        <f>AN74-(AS74*AT74)</f>
        <v>0</v>
      </c>
      <c r="AZ74" s="178"/>
      <c r="BA74" s="191">
        <f>BA63</f>
        <v>3</v>
      </c>
      <c r="BB74" s="212">
        <f>VLOOKUP(BB63,'Lookup Tables'!$AB$22:$AC$31,2,FALSE)</f>
        <v>0</v>
      </c>
      <c r="BC74" s="213">
        <v>0</v>
      </c>
      <c r="BD74" s="208">
        <f>AY74-BC74</f>
        <v>0</v>
      </c>
      <c r="BE74" s="178">
        <f>IF(BD74&gt;0,1,0)</f>
        <v>0</v>
      </c>
      <c r="BF74" s="196">
        <f>((('Rate Tables'!H14*9)*0.02778)/5)*BD74*BE74*F74</f>
        <v>0</v>
      </c>
      <c r="BG74" s="197">
        <f>BH63</f>
        <v>0</v>
      </c>
      <c r="BH74" s="178"/>
      <c r="BI74" s="178"/>
      <c r="BJ74" s="178"/>
      <c r="BK74" s="227"/>
      <c r="BL74" s="12"/>
      <c r="BM74" s="227"/>
      <c r="BN74" s="275"/>
      <c r="BO74" s="12"/>
    </row>
    <row r="75" spans="1:67" x14ac:dyDescent="0.25">
      <c r="A75" s="296"/>
      <c r="B75" s="116"/>
      <c r="C75" s="819" t="s">
        <v>732</v>
      </c>
      <c r="D75" s="178"/>
      <c r="E75" s="153" t="s">
        <v>84</v>
      </c>
      <c r="F75" s="153" t="s">
        <v>42</v>
      </c>
      <c r="G75" s="153" t="s">
        <v>41</v>
      </c>
      <c r="H75" s="183" t="s">
        <v>77</v>
      </c>
      <c r="I75" s="209" t="s">
        <v>105</v>
      </c>
      <c r="J75" s="210" t="s">
        <v>106</v>
      </c>
      <c r="K75" s="153" t="s">
        <v>99</v>
      </c>
      <c r="L75" s="153" t="s">
        <v>100</v>
      </c>
      <c r="M75" s="153" t="s">
        <v>82</v>
      </c>
      <c r="N75" s="153" t="s">
        <v>32</v>
      </c>
      <c r="O75" s="153" t="s">
        <v>69</v>
      </c>
      <c r="P75" s="153" t="s">
        <v>72</v>
      </c>
      <c r="Q75" s="153" t="s">
        <v>103</v>
      </c>
      <c r="R75" s="183" t="s">
        <v>77</v>
      </c>
      <c r="S75" s="209" t="s">
        <v>105</v>
      </c>
      <c r="T75" s="210" t="s">
        <v>106</v>
      </c>
      <c r="U75" s="178" t="s">
        <v>98</v>
      </c>
      <c r="V75" s="153" t="s">
        <v>100</v>
      </c>
      <c r="W75" s="153" t="s">
        <v>33</v>
      </c>
      <c r="X75" s="153" t="s">
        <v>69</v>
      </c>
      <c r="Y75" s="153"/>
      <c r="Z75" s="153"/>
      <c r="AA75" s="178"/>
      <c r="AB75" s="153" t="s">
        <v>72</v>
      </c>
      <c r="AC75" s="153" t="s">
        <v>104</v>
      </c>
      <c r="AD75" s="153"/>
      <c r="AE75" s="183" t="s">
        <v>77</v>
      </c>
      <c r="AF75" s="209" t="s">
        <v>105</v>
      </c>
      <c r="AG75" s="210" t="s">
        <v>106</v>
      </c>
      <c r="AH75" s="178" t="s">
        <v>98</v>
      </c>
      <c r="AI75" s="153" t="s">
        <v>100</v>
      </c>
      <c r="AJ75" s="153" t="s">
        <v>34</v>
      </c>
      <c r="AK75" s="153" t="s">
        <v>69</v>
      </c>
      <c r="AL75" s="178"/>
      <c r="AM75" s="153" t="s">
        <v>72</v>
      </c>
      <c r="AN75" s="153" t="s">
        <v>104</v>
      </c>
      <c r="AO75" s="153"/>
      <c r="AP75" s="183" t="s">
        <v>77</v>
      </c>
      <c r="AQ75" s="209" t="s">
        <v>105</v>
      </c>
      <c r="AR75" s="210" t="s">
        <v>106</v>
      </c>
      <c r="AS75" s="178" t="s">
        <v>98</v>
      </c>
      <c r="AT75" s="153" t="s">
        <v>100</v>
      </c>
      <c r="AU75" s="153" t="s">
        <v>34</v>
      </c>
      <c r="AV75" s="153" t="s">
        <v>69</v>
      </c>
      <c r="AW75" s="178"/>
      <c r="AX75" s="153" t="s">
        <v>72</v>
      </c>
      <c r="AY75" s="153" t="s">
        <v>104</v>
      </c>
      <c r="AZ75" s="153"/>
      <c r="BA75" s="183" t="s">
        <v>77</v>
      </c>
      <c r="BB75" s="209" t="s">
        <v>105</v>
      </c>
      <c r="BC75" s="210" t="s">
        <v>106</v>
      </c>
      <c r="BD75" s="178" t="s">
        <v>98</v>
      </c>
      <c r="BE75" s="153" t="s">
        <v>100</v>
      </c>
      <c r="BF75" s="153" t="s">
        <v>34</v>
      </c>
      <c r="BG75" s="153" t="s">
        <v>69</v>
      </c>
      <c r="BH75" s="178"/>
      <c r="BI75" s="178"/>
      <c r="BJ75" s="178"/>
      <c r="BK75" s="227"/>
      <c r="BL75" s="12"/>
      <c r="BM75" s="227"/>
      <c r="BN75" s="275"/>
      <c r="BO75" s="12"/>
    </row>
    <row r="76" spans="1:67" x14ac:dyDescent="0.25">
      <c r="A76" s="296"/>
      <c r="B76" s="116"/>
      <c r="C76" s="115"/>
      <c r="D76" s="178"/>
      <c r="E76" s="211">
        <f>E74</f>
        <v>10</v>
      </c>
      <c r="F76" s="190">
        <f>IF($D$4=2025,1,0)</f>
        <v>0</v>
      </c>
      <c r="G76" s="178">
        <f>IF($B67="Yes",$C$5,$I67)</f>
        <v>12</v>
      </c>
      <c r="H76" s="191">
        <f>H65</f>
        <v>3</v>
      </c>
      <c r="I76" s="212">
        <f>VLOOKUP(J65,'Lookup Tables'!$AB$22:$AC$31,2,FALSE)</f>
        <v>32</v>
      </c>
      <c r="J76" s="213">
        <f>VLOOKUP(U65,'Lookup Tables'!$AB$32:$AC$41,2,FALSE)</f>
        <v>33</v>
      </c>
      <c r="K76" s="203">
        <f>E76-J76</f>
        <v>-23</v>
      </c>
      <c r="L76" s="178">
        <f>IF(K76&gt;0,1,0)</f>
        <v>0</v>
      </c>
      <c r="M76" s="195">
        <f>M65</f>
        <v>0</v>
      </c>
      <c r="N76" s="196">
        <f>((((('Rate Tables'!E14*9)*0.02778)/5)*K76)*L76)*F76*M76</f>
        <v>0</v>
      </c>
      <c r="O76" s="197">
        <f>O65</f>
        <v>12</v>
      </c>
      <c r="P76" s="197">
        <f>IF(O76&lt;0,O76*0,1)*O76</f>
        <v>12</v>
      </c>
      <c r="Q76" s="203">
        <f>(E76-K76*F76*L76*M76)</f>
        <v>10</v>
      </c>
      <c r="R76" s="191">
        <f>S65</f>
        <v>3</v>
      </c>
      <c r="S76" s="212">
        <f>VLOOKUP(U65,'Lookup Tables'!$AB$22:$AC$31,2,FALSE)</f>
        <v>32</v>
      </c>
      <c r="T76" s="213">
        <f>VLOOKUP(AF65,'Lookup Tables'!$AB$32:$AC$41,2,FALSE)</f>
        <v>33</v>
      </c>
      <c r="U76" s="206">
        <f>Q76-T76</f>
        <v>-23</v>
      </c>
      <c r="V76" s="178">
        <f>IF(U76&gt;0,1,0)</f>
        <v>0</v>
      </c>
      <c r="W76" s="196">
        <f>((('Rate Tables'!F14*9)*0.02778)/5)*U76*F76*V76</f>
        <v>0</v>
      </c>
      <c r="X76" s="197">
        <f>AA65</f>
        <v>2</v>
      </c>
      <c r="Y76" s="178"/>
      <c r="Z76" s="195"/>
      <c r="AA76" s="178"/>
      <c r="AB76" s="197">
        <f>IF(X76&lt;0,X76*0,1)*X76</f>
        <v>2</v>
      </c>
      <c r="AC76" s="203">
        <f>Q76-(U76*V76)</f>
        <v>10</v>
      </c>
      <c r="AD76" s="178"/>
      <c r="AE76" s="191">
        <f>AE65</f>
        <v>1</v>
      </c>
      <c r="AF76" s="212">
        <f>VLOOKUP(AF65,'Lookup Tables'!$AB$22:$AC$31,2,FALSE)</f>
        <v>32</v>
      </c>
      <c r="AG76" s="213">
        <f>VLOOKUP(AQ65,'Lookup Tables'!$AB$32:$AC$41,2,FALSE)</f>
        <v>0</v>
      </c>
      <c r="AH76" s="208">
        <f>AC76-AG76</f>
        <v>10</v>
      </c>
      <c r="AI76" s="178">
        <f>IF(AH76&gt;0,1,0)</f>
        <v>1</v>
      </c>
      <c r="AJ76" s="196">
        <f>((('Rate Tables'!G14*9)*0.02778)/5)*AH76*AI76*F76</f>
        <v>0</v>
      </c>
      <c r="AK76" s="197">
        <f>AL65</f>
        <v>0</v>
      </c>
      <c r="AL76" s="178"/>
      <c r="AM76" s="197">
        <f>IF(AK76&lt;0,AK76*0,1)*AK76</f>
        <v>0</v>
      </c>
      <c r="AN76" s="203">
        <f>AC76-(AH76*AI76)</f>
        <v>0</v>
      </c>
      <c r="AO76" s="178"/>
      <c r="AP76" s="191">
        <f>AP65</f>
        <v>3</v>
      </c>
      <c r="AQ76" s="212">
        <f>VLOOKUP(AQ65,'Lookup Tables'!$AB$22:$AC$31,2,FALSE)</f>
        <v>0</v>
      </c>
      <c r="AR76" s="213">
        <f>VLOOKUP(BB65,'Lookup Tables'!$AB$32:$AC$41,2,FALSE)</f>
        <v>0</v>
      </c>
      <c r="AS76" s="208">
        <f>AN76-AR76</f>
        <v>0</v>
      </c>
      <c r="AT76" s="178">
        <f>IF(AS76&gt;0,1,0)</f>
        <v>0</v>
      </c>
      <c r="AU76" s="196">
        <f>((('Rate Tables'!H14*9)*0.02778)/5)*AS76*AT76*F76</f>
        <v>0</v>
      </c>
      <c r="AV76" s="197">
        <f>AW65</f>
        <v>0</v>
      </c>
      <c r="AW76" s="178"/>
      <c r="AX76" s="197">
        <f>IF(AV76&lt;0,AV76*0,1)*AV76</f>
        <v>0</v>
      </c>
      <c r="AY76" s="203">
        <f>AN76-(AS76*AT76)</f>
        <v>0</v>
      </c>
      <c r="AZ76" s="178"/>
      <c r="BA76" s="191">
        <f>BA65</f>
        <v>3</v>
      </c>
      <c r="BB76" s="212">
        <f>VLOOKUP(BB65,'Lookup Tables'!$AB$22:$AC$31,2,FALSE)</f>
        <v>0</v>
      </c>
      <c r="BC76" s="213">
        <v>0</v>
      </c>
      <c r="BD76" s="208">
        <f>AY76-BC76</f>
        <v>0</v>
      </c>
      <c r="BE76" s="178">
        <f>IF(BD76&gt;0,1,0)</f>
        <v>0</v>
      </c>
      <c r="BF76" s="196">
        <f>((('Rate Tables'!I14*9)*0.02778)/5)*BD76*BE76*F76</f>
        <v>0</v>
      </c>
      <c r="BG76" s="197">
        <f>BH65</f>
        <v>0</v>
      </c>
      <c r="BH76" s="178"/>
      <c r="BI76" s="178"/>
      <c r="BJ76" s="178"/>
      <c r="BK76" s="227"/>
      <c r="BL76" s="12"/>
      <c r="BM76" s="227"/>
      <c r="BN76" s="275"/>
      <c r="BO76" s="12"/>
    </row>
    <row r="77" spans="1:67" ht="15.75" thickBot="1" x14ac:dyDescent="0.3">
      <c r="A77" s="296"/>
      <c r="B77" s="116"/>
      <c r="C77" s="114"/>
      <c r="D77" s="178"/>
      <c r="E77" s="178"/>
      <c r="F77" s="178"/>
      <c r="G77" s="749" t="s">
        <v>559</v>
      </c>
      <c r="H77" s="178">
        <f>BK70</f>
        <v>10</v>
      </c>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307"/>
      <c r="BL77" s="12"/>
      <c r="BM77" s="227" t="s">
        <v>453</v>
      </c>
      <c r="BN77" s="275">
        <f>IF(BN72=0,0,BN71)</f>
        <v>0.2697</v>
      </c>
      <c r="BO77" s="12">
        <f>(BN68+BN78)*BO71</f>
        <v>0</v>
      </c>
    </row>
    <row r="78" spans="1:67" ht="15.75" thickBot="1" x14ac:dyDescent="0.3">
      <c r="A78" s="380">
        <f>Personnel!U22</f>
        <v>0</v>
      </c>
      <c r="B78" s="273">
        <f>Personnel!U23</f>
        <v>0</v>
      </c>
      <c r="C78" s="114"/>
      <c r="D78" s="178"/>
      <c r="E78" s="178"/>
      <c r="F78" s="178"/>
      <c r="G78" s="749" t="s">
        <v>560</v>
      </c>
      <c r="H78" s="178">
        <f>VLOOKUP(H70,'Lookup Tables'!$L$62:$Y$74,MATCH(G70,'Lookup Tables'!$L$62:$Y$62,FALSE))</f>
        <v>65</v>
      </c>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309"/>
      <c r="BL78" s="274"/>
      <c r="BM78" s="278" t="s">
        <v>415</v>
      </c>
      <c r="BN78" s="279">
        <f>BN68*BN77</f>
        <v>0</v>
      </c>
      <c r="BO78" s="373">
        <f>BN68+BN78+BO77</f>
        <v>0</v>
      </c>
    </row>
    <row r="79" spans="1:67" ht="15.75" thickBot="1" x14ac:dyDescent="0.3">
      <c r="A79" s="296"/>
      <c r="B79" s="116"/>
      <c r="C79" s="114"/>
      <c r="D79" s="178"/>
      <c r="E79" s="178"/>
      <c r="F79" s="178"/>
      <c r="G79" s="178"/>
      <c r="H79" s="178"/>
      <c r="I79" s="178"/>
      <c r="J79" s="178"/>
      <c r="K79" s="178"/>
      <c r="L79" s="178"/>
      <c r="M79" s="178"/>
      <c r="N79" s="178"/>
      <c r="O79" s="178"/>
      <c r="P79" s="178"/>
      <c r="Q79" s="178"/>
      <c r="R79" s="178"/>
      <c r="S79" s="178"/>
      <c r="T79" s="178"/>
      <c r="U79" s="178"/>
      <c r="V79" s="178"/>
      <c r="W79" s="178"/>
      <c r="X79" s="178"/>
      <c r="Y79" s="178"/>
      <c r="Z79" s="214"/>
      <c r="AA79" s="214"/>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227"/>
      <c r="BL79" s="12"/>
      <c r="BM79" s="227"/>
      <c r="BN79" s="275"/>
      <c r="BO79" s="374"/>
    </row>
    <row r="80" spans="1:67" ht="26.25" x14ac:dyDescent="0.25">
      <c r="A80" s="298" t="s">
        <v>174</v>
      </c>
      <c r="B80" s="294" t="s">
        <v>338</v>
      </c>
      <c r="C80" s="180" t="s">
        <v>605</v>
      </c>
      <c r="D80" s="181"/>
      <c r="E80" s="181"/>
      <c r="F80" s="181"/>
      <c r="G80" s="181"/>
      <c r="H80" s="181"/>
      <c r="I80" s="181"/>
      <c r="J80" s="181"/>
      <c r="K80" s="181"/>
      <c r="L80" s="181"/>
      <c r="M80" s="181"/>
      <c r="N80" s="181"/>
      <c r="O80" s="181">
        <v>21</v>
      </c>
      <c r="P80" s="181"/>
      <c r="Q80" s="181"/>
      <c r="R80" s="181"/>
      <c r="S80" s="181"/>
      <c r="T80" s="181"/>
      <c r="U80" s="181"/>
      <c r="V80" s="181"/>
      <c r="W80" s="181"/>
      <c r="X80" s="181"/>
      <c r="Y80" s="181"/>
      <c r="Z80" s="493">
        <v>44378</v>
      </c>
      <c r="AA80" s="493">
        <v>44742</v>
      </c>
      <c r="AB80" s="181"/>
      <c r="AC80" s="181"/>
      <c r="AD80" s="181"/>
      <c r="AE80" s="181"/>
      <c r="AF80" s="181"/>
      <c r="AG80" s="181"/>
      <c r="AH80" s="181"/>
      <c r="AI80" s="181"/>
      <c r="AJ80" s="181"/>
      <c r="AK80" s="181"/>
      <c r="AL80" s="181">
        <v>23</v>
      </c>
      <c r="AM80" s="181"/>
      <c r="AN80" s="181"/>
      <c r="AO80" s="181"/>
      <c r="AP80" s="181"/>
      <c r="AQ80" s="181"/>
      <c r="AR80" s="181"/>
      <c r="AS80" s="181"/>
      <c r="AT80" s="181"/>
      <c r="AU80" s="181"/>
      <c r="AV80" s="181"/>
      <c r="AW80" s="181">
        <v>23</v>
      </c>
      <c r="AX80" s="181"/>
      <c r="AY80" s="181"/>
      <c r="AZ80" s="181"/>
      <c r="BA80" s="181"/>
      <c r="BB80" s="181"/>
      <c r="BC80" s="181"/>
      <c r="BD80" s="181"/>
      <c r="BE80" s="181"/>
      <c r="BF80" s="181"/>
      <c r="BG80" s="181"/>
      <c r="BH80" s="181"/>
      <c r="BI80" s="181"/>
      <c r="BJ80" s="181"/>
      <c r="BK80" s="282"/>
      <c r="BL80" s="144"/>
      <c r="BM80" s="282"/>
      <c r="BN80" s="283"/>
      <c r="BO80" s="12"/>
    </row>
    <row r="81" spans="1:67" x14ac:dyDescent="0.25">
      <c r="A81" s="345">
        <f>Personnel!C28</f>
        <v>0</v>
      </c>
      <c r="B81" s="346" t="str">
        <f>Personnel!C27</f>
        <v>Faculty</v>
      </c>
      <c r="C81" s="347">
        <f>Personnel!C29</f>
        <v>0</v>
      </c>
      <c r="D81" s="178"/>
      <c r="E81" s="178"/>
      <c r="F81" s="178"/>
      <c r="G81" s="178"/>
      <c r="H81" s="178"/>
      <c r="I81" s="178"/>
      <c r="J81" s="178"/>
      <c r="K81" s="178"/>
      <c r="L81" s="178"/>
      <c r="M81" s="178"/>
      <c r="N81" s="178"/>
      <c r="O81" s="178">
        <v>22</v>
      </c>
      <c r="P81" s="178"/>
      <c r="Q81" s="178"/>
      <c r="R81" s="178"/>
      <c r="S81" s="178"/>
      <c r="T81" s="178"/>
      <c r="U81" s="178"/>
      <c r="V81" s="178"/>
      <c r="W81" s="178"/>
      <c r="X81" s="178"/>
      <c r="Y81" s="178"/>
      <c r="Z81" s="178"/>
      <c r="AA81" s="178">
        <v>23</v>
      </c>
      <c r="AB81" s="178"/>
      <c r="AC81" s="178"/>
      <c r="AD81" s="178"/>
      <c r="AE81" s="178"/>
      <c r="AF81" s="178"/>
      <c r="AG81" s="178"/>
      <c r="AH81" s="178"/>
      <c r="AI81" s="178"/>
      <c r="AJ81" s="178"/>
      <c r="AK81" s="178"/>
      <c r="AL81" s="178">
        <v>24</v>
      </c>
      <c r="AM81" s="178"/>
      <c r="AN81" s="178"/>
      <c r="AO81" s="178"/>
      <c r="AP81" s="178"/>
      <c r="AQ81" s="178"/>
      <c r="AR81" s="178"/>
      <c r="AS81" s="178"/>
      <c r="AT81" s="178"/>
      <c r="AU81" s="178"/>
      <c r="AV81" s="178"/>
      <c r="AW81" s="178">
        <v>24</v>
      </c>
      <c r="AX81" s="178"/>
      <c r="AY81" s="178"/>
      <c r="AZ81" s="178"/>
      <c r="BA81" s="178"/>
      <c r="BB81" s="178"/>
      <c r="BC81" s="178"/>
      <c r="BD81" s="178"/>
      <c r="BE81" s="178"/>
      <c r="BF81" s="178"/>
      <c r="BG81" s="178"/>
      <c r="BH81" s="178"/>
      <c r="BI81" s="178"/>
      <c r="BJ81" s="178"/>
      <c r="BK81" s="306" t="s">
        <v>412</v>
      </c>
      <c r="BL81" s="348">
        <f>Personnel!W27</f>
        <v>0</v>
      </c>
      <c r="BM81" s="276" t="s">
        <v>414</v>
      </c>
      <c r="BN81" s="277">
        <f>(N83+N85+N87+N89+Z83+Z85+Z87+Z89+AK83+AK85+AK87+AK89+AV83+AV85+AV87+AV89+BG83+BG85+BG87+BG89)*BL90</f>
        <v>0</v>
      </c>
      <c r="BO81" s="224"/>
    </row>
    <row r="82" spans="1:67" x14ac:dyDescent="0.25">
      <c r="A82" s="296"/>
      <c r="B82" s="116"/>
      <c r="C82" s="117" t="s">
        <v>30</v>
      </c>
      <c r="D82" s="178"/>
      <c r="E82" s="153" t="s">
        <v>16</v>
      </c>
      <c r="F82" s="153" t="s">
        <v>42</v>
      </c>
      <c r="G82" s="153" t="s">
        <v>41</v>
      </c>
      <c r="H82" s="183" t="s">
        <v>77</v>
      </c>
      <c r="I82" s="184" t="s">
        <v>90</v>
      </c>
      <c r="J82" s="185" t="s">
        <v>70</v>
      </c>
      <c r="K82" s="186" t="s">
        <v>93</v>
      </c>
      <c r="L82" s="153" t="s">
        <v>35</v>
      </c>
      <c r="M82" s="153" t="s">
        <v>82</v>
      </c>
      <c r="N82" s="153" t="s">
        <v>31</v>
      </c>
      <c r="O82" s="153" t="s">
        <v>69</v>
      </c>
      <c r="P82" s="153" t="s">
        <v>72</v>
      </c>
      <c r="Q82" s="183" t="s">
        <v>80</v>
      </c>
      <c r="R82" s="187" t="s">
        <v>81</v>
      </c>
      <c r="S82" s="183" t="s">
        <v>77</v>
      </c>
      <c r="T82" s="598" t="s">
        <v>83</v>
      </c>
      <c r="U82" s="185" t="s">
        <v>70</v>
      </c>
      <c r="V82" s="153" t="s">
        <v>91</v>
      </c>
      <c r="W82" s="153" t="s">
        <v>43</v>
      </c>
      <c r="X82" s="153" t="s">
        <v>53</v>
      </c>
      <c r="Y82" s="153" t="s">
        <v>68</v>
      </c>
      <c r="Z82" s="153" t="s">
        <v>32</v>
      </c>
      <c r="AA82" s="153" t="s">
        <v>69</v>
      </c>
      <c r="AB82" s="153" t="s">
        <v>72</v>
      </c>
      <c r="AC82" s="153" t="s">
        <v>80</v>
      </c>
      <c r="AD82" s="187" t="s">
        <v>81</v>
      </c>
      <c r="AE82" s="183" t="s">
        <v>77</v>
      </c>
      <c r="AF82" s="185" t="s">
        <v>70</v>
      </c>
      <c r="AG82" s="153" t="s">
        <v>92</v>
      </c>
      <c r="AH82" s="153" t="s">
        <v>44</v>
      </c>
      <c r="AI82" s="153" t="s">
        <v>78</v>
      </c>
      <c r="AJ82" s="153" t="s">
        <v>68</v>
      </c>
      <c r="AK82" s="153" t="s">
        <v>33</v>
      </c>
      <c r="AL82" s="153" t="s">
        <v>69</v>
      </c>
      <c r="AM82" s="153" t="s">
        <v>72</v>
      </c>
      <c r="AN82" s="153" t="s">
        <v>80</v>
      </c>
      <c r="AO82" s="187" t="s">
        <v>81</v>
      </c>
      <c r="AP82" s="183" t="s">
        <v>77</v>
      </c>
      <c r="AQ82" s="185" t="s">
        <v>70</v>
      </c>
      <c r="AR82" s="153" t="s">
        <v>92</v>
      </c>
      <c r="AS82" s="153" t="s">
        <v>44</v>
      </c>
      <c r="AT82" s="153" t="s">
        <v>78</v>
      </c>
      <c r="AU82" s="153" t="s">
        <v>68</v>
      </c>
      <c r="AV82" s="153" t="s">
        <v>33</v>
      </c>
      <c r="AW82" s="153" t="s">
        <v>69</v>
      </c>
      <c r="AX82" s="153" t="s">
        <v>72</v>
      </c>
      <c r="AY82" s="153" t="s">
        <v>80</v>
      </c>
      <c r="AZ82" s="187" t="s">
        <v>81</v>
      </c>
      <c r="BA82" s="183" t="s">
        <v>77</v>
      </c>
      <c r="BB82" s="185" t="s">
        <v>70</v>
      </c>
      <c r="BC82" s="153" t="s">
        <v>92</v>
      </c>
      <c r="BD82" s="153" t="s">
        <v>44</v>
      </c>
      <c r="BE82" s="153" t="s">
        <v>78</v>
      </c>
      <c r="BF82" s="153" t="s">
        <v>68</v>
      </c>
      <c r="BG82" s="153" t="s">
        <v>33</v>
      </c>
      <c r="BH82" s="153" t="s">
        <v>69</v>
      </c>
      <c r="BI82" s="153"/>
      <c r="BJ82" s="178"/>
      <c r="BK82" s="227"/>
      <c r="BL82" s="349"/>
      <c r="BM82" s="227"/>
      <c r="BN82" s="275"/>
      <c r="BO82" s="12"/>
    </row>
    <row r="83" spans="1:67" x14ac:dyDescent="0.25">
      <c r="A83" s="296"/>
      <c r="B83" s="116"/>
      <c r="C83" s="115"/>
      <c r="D83" s="178"/>
      <c r="E83" s="189">
        <f>BL81</f>
        <v>0</v>
      </c>
      <c r="F83" s="190">
        <f>IF($D$4=2022,1,0)</f>
        <v>0</v>
      </c>
      <c r="G83" s="178">
        <f>IF($B91="Yes",$C$5,$I91)</f>
        <v>12</v>
      </c>
      <c r="H83" s="191">
        <f>VLOOKUP(H90,'Lookup Tables'!$A$22:$B$33,2,FALSE)</f>
        <v>3</v>
      </c>
      <c r="I83" s="192">
        <f>VLOOKUP($E$4,'Lookup Tables'!$AB$46:$AN$58,MATCH($H83,'Lookup Tables'!$AB$46:$AN$46),FALSE)</f>
        <v>12</v>
      </c>
      <c r="J83" s="193">
        <f>VLOOKUP(H83,'Lookup Tables'!$A$3:$AA$16,MATCH(PersonCalcYr3!$G83,'Lookup Tables'!$A$3:$AA$3),FALSE)</f>
        <v>1.5161</v>
      </c>
      <c r="K83" s="194">
        <f>VLOOKUP($H90,'Lookup Tables'!$K$23:$L$34,2,FALSE)</f>
        <v>0</v>
      </c>
      <c r="L83" s="178">
        <f>IF(G83&lt;=K83,G83,K83)</f>
        <v>0</v>
      </c>
      <c r="M83" s="195">
        <f>IF(12-I83&gt;=1,1,0)</f>
        <v>0</v>
      </c>
      <c r="N83" s="196">
        <f>(('Rate Tables'!B19*PersonCalcYr3!E83)*PersonCalcYr3!L83)*PersonCalcYr3!F83*M83</f>
        <v>0</v>
      </c>
      <c r="O83" s="197">
        <f>G83-((J83+L83)*M83)</f>
        <v>12</v>
      </c>
      <c r="P83" s="197">
        <f>IF(O83&lt;0,O83*0,1)*O83</f>
        <v>12</v>
      </c>
      <c r="Q83" s="198">
        <f>H83+(L83*M83)+(J83*M83)</f>
        <v>3</v>
      </c>
      <c r="R83" s="199" t="str">
        <f>VLOOKUP(Q83,'Lookup Tables'!$A$38:$B$151,2,FALSE)</f>
        <v>Sept</v>
      </c>
      <c r="S83" s="191">
        <f>VLOOKUP(R83,'Lookup Tables'!$A$22:$B$33,2,FALSE)</f>
        <v>3</v>
      </c>
      <c r="T83" s="599">
        <f>VLOOKUP($E$4,'Lookup Tables'!$AB$63:$AN$75,MATCH(PersonCalcYr3!$S83,'Lookup Tables'!$AB$63:$AN$63),FALSE)</f>
        <v>0.5161</v>
      </c>
      <c r="U83" s="200">
        <f>VLOOKUP(S83,'Lookup Tables'!$A$3:$AA$16,MATCH(PersonCalcYr3!$P83,'Lookup Tables'!$A$3:$AA$3),FALSE)</f>
        <v>1.5161</v>
      </c>
      <c r="V83" s="496">
        <f>9-T83</f>
        <v>8.4839000000000002</v>
      </c>
      <c r="W83" s="201">
        <f>P83-U83</f>
        <v>10.4839</v>
      </c>
      <c r="X83" s="195">
        <f>IF(V83&lt;=W83,V83,W83)</f>
        <v>8.4839000000000002</v>
      </c>
      <c r="Y83" s="195">
        <f>IF(12-T83-U83-X83&gt;=0,1,0)</f>
        <v>1</v>
      </c>
      <c r="Z83" s="202">
        <f>((('Rate Tables'!C19*$E83)*PersonCalcYr3!$X83)*$F83)*Y83</f>
        <v>0</v>
      </c>
      <c r="AA83" s="197">
        <f>O83-(((U83*U91)+X83)*Y83)</f>
        <v>2</v>
      </c>
      <c r="AB83" s="197">
        <f>IF(AA83&lt;0,AA83*0,1)*AA83</f>
        <v>2</v>
      </c>
      <c r="AC83" s="601">
        <f>S83+(X83*Y83)+((U83*U91)*Y83)</f>
        <v>13</v>
      </c>
      <c r="AD83" s="199" t="str">
        <f>VLOOKUP(AC83,'Lookup Tables'!$A$38:$B$151,2,FALSE)</f>
        <v>July</v>
      </c>
      <c r="AE83" s="191">
        <f>VLOOKUP(AD83,'Lookup Tables'!$A$22:$B$33,2,FALSE)</f>
        <v>1</v>
      </c>
      <c r="AF83" s="200">
        <f>VLOOKUP(AE83,'Lookup Tables'!$A$3:$AA$16,MATCH(PersonCalcYr3!AB83,'Lookup Tables'!$A$3:$AA$3),FALSE)</f>
        <v>1.4839</v>
      </c>
      <c r="AG83" s="178">
        <v>9</v>
      </c>
      <c r="AH83" s="201">
        <f>AB83-AF83</f>
        <v>0.5161</v>
      </c>
      <c r="AI83" s="195">
        <f>IF(AG83&lt;=AH83,AG83,AH83)</f>
        <v>0.5161</v>
      </c>
      <c r="AJ83" s="195">
        <f>IF((AG83+AF83)&lt;=0,0,1)</f>
        <v>1</v>
      </c>
      <c r="AK83" s="204">
        <f>((('Rate Tables'!D19*$E83)*PersonCalcYr3!AI83)*$F83)*AJ83</f>
        <v>0</v>
      </c>
      <c r="AL83" s="197">
        <f>AB83-AF83-AI83</f>
        <v>0</v>
      </c>
      <c r="AM83" s="197">
        <f>IF(AL83&lt;0,AL83*0,1)*AL83</f>
        <v>0</v>
      </c>
      <c r="AN83" s="601">
        <f>AE83+(AI83*AJ83)+((AF83*AF91)*AJ83)</f>
        <v>3</v>
      </c>
      <c r="AO83" s="199" t="str">
        <f>VLOOKUP(AN83,'Lookup Tables'!$A$38:$B$151,2,FALSE)</f>
        <v>Sept</v>
      </c>
      <c r="AP83" s="191">
        <f>VLOOKUP(AO83,'Lookup Tables'!$A$22:$B$33,2,FALSE)</f>
        <v>3</v>
      </c>
      <c r="AQ83" s="200">
        <f>VLOOKUP(AP83,'Lookup Tables'!$A$3:$AA$16,MATCH(PersonCalcYr3!AM83,'Lookup Tables'!$A$3:$AA$3),FALSE)</f>
        <v>0</v>
      </c>
      <c r="AR83" s="178">
        <v>9</v>
      </c>
      <c r="AS83" s="201">
        <f>AM83-AQ83</f>
        <v>0</v>
      </c>
      <c r="AT83" s="195">
        <f>IF(AR83&lt;=AS83,AR83,AS83)</f>
        <v>0</v>
      </c>
      <c r="AU83" s="195">
        <f>IF((AR83+AQ83)&lt;=0,0,1)</f>
        <v>1</v>
      </c>
      <c r="AV83" s="204">
        <f>((('Rate Tables'!E19*$E83)*PersonCalcYr3!AT83)*$F83)*AU83</f>
        <v>0</v>
      </c>
      <c r="AW83" s="197">
        <f>AM83-AQ83-AT83</f>
        <v>0</v>
      </c>
      <c r="AX83" s="197">
        <f>IF(AW83&lt;0,AW83*0,1)*AW83</f>
        <v>0</v>
      </c>
      <c r="AY83" s="601">
        <f>AP83+(AT83*AU83)+((AQ83*AQ91)*AU83)</f>
        <v>3</v>
      </c>
      <c r="AZ83" s="199" t="str">
        <f>VLOOKUP(AY83,'Lookup Tables'!$A$38:$B$151,2,FALSE)</f>
        <v>Sept</v>
      </c>
      <c r="BA83" s="191">
        <f>VLOOKUP(AZ83,'Lookup Tables'!$A$22:$B$33,2,FALSE)</f>
        <v>3</v>
      </c>
      <c r="BB83" s="200">
        <f>VLOOKUP(BA83,'Lookup Tables'!$A$3:$AA$16,MATCH(PersonCalcYr3!AX83,'Lookup Tables'!$A$3:$AA$3),FALSE)</f>
        <v>0</v>
      </c>
      <c r="BC83" s="178">
        <v>9</v>
      </c>
      <c r="BD83" s="201">
        <f>AX83-BB83</f>
        <v>0</v>
      </c>
      <c r="BE83" s="195">
        <f>IF(BC83&lt;=BD83,BC83,BD83)</f>
        <v>0</v>
      </c>
      <c r="BF83" s="195">
        <f>IF((BC83+BB83)&lt;=0,0,1)</f>
        <v>1</v>
      </c>
      <c r="BG83" s="204">
        <f>((('Rate Tables'!F19*$E83)*PersonCalcYr3!BE83)*$F83)*BF83</f>
        <v>0</v>
      </c>
      <c r="BH83" s="197">
        <f>AX83-BB83-BE83</f>
        <v>0</v>
      </c>
      <c r="BI83" s="197"/>
      <c r="BJ83" s="178"/>
      <c r="BK83" s="227"/>
      <c r="BL83" s="350"/>
      <c r="BM83" s="227"/>
      <c r="BN83" s="275"/>
      <c r="BO83" s="12"/>
    </row>
    <row r="84" spans="1:67" x14ac:dyDescent="0.25">
      <c r="A84" s="296"/>
      <c r="B84" s="116"/>
      <c r="C84" s="117" t="s">
        <v>597</v>
      </c>
      <c r="D84" s="178"/>
      <c r="E84" s="153" t="s">
        <v>16</v>
      </c>
      <c r="F84" s="153" t="s">
        <v>42</v>
      </c>
      <c r="G84" s="153" t="s">
        <v>41</v>
      </c>
      <c r="H84" s="183" t="s">
        <v>77</v>
      </c>
      <c r="I84" s="184" t="s">
        <v>90</v>
      </c>
      <c r="J84" s="185" t="s">
        <v>70</v>
      </c>
      <c r="K84" s="186" t="s">
        <v>109</v>
      </c>
      <c r="L84" s="153" t="s">
        <v>53</v>
      </c>
      <c r="M84" s="153" t="s">
        <v>82</v>
      </c>
      <c r="N84" s="153" t="s">
        <v>32</v>
      </c>
      <c r="O84" s="153" t="s">
        <v>69</v>
      </c>
      <c r="P84" s="153" t="s">
        <v>72</v>
      </c>
      <c r="Q84" s="183" t="s">
        <v>80</v>
      </c>
      <c r="R84" s="187" t="s">
        <v>81</v>
      </c>
      <c r="S84" s="183" t="s">
        <v>77</v>
      </c>
      <c r="T84" s="598" t="s">
        <v>83</v>
      </c>
      <c r="U84" s="185" t="s">
        <v>70</v>
      </c>
      <c r="V84" s="153" t="s">
        <v>92</v>
      </c>
      <c r="W84" s="153" t="s">
        <v>44</v>
      </c>
      <c r="X84" s="153" t="s">
        <v>78</v>
      </c>
      <c r="Y84" s="153" t="s">
        <v>68</v>
      </c>
      <c r="Z84" s="153" t="s">
        <v>33</v>
      </c>
      <c r="AA84" s="153" t="s">
        <v>69</v>
      </c>
      <c r="AB84" s="153" t="s">
        <v>72</v>
      </c>
      <c r="AC84" s="153" t="s">
        <v>80</v>
      </c>
      <c r="AD84" s="187" t="s">
        <v>81</v>
      </c>
      <c r="AE84" s="183" t="s">
        <v>77</v>
      </c>
      <c r="AF84" s="185" t="s">
        <v>70</v>
      </c>
      <c r="AG84" s="153" t="s">
        <v>94</v>
      </c>
      <c r="AH84" s="153" t="s">
        <v>45</v>
      </c>
      <c r="AI84" s="153" t="s">
        <v>79</v>
      </c>
      <c r="AJ84" s="153" t="s">
        <v>68</v>
      </c>
      <c r="AK84" s="153" t="s">
        <v>34</v>
      </c>
      <c r="AL84" s="153" t="s">
        <v>69</v>
      </c>
      <c r="AM84" s="153" t="s">
        <v>72</v>
      </c>
      <c r="AN84" s="153" t="s">
        <v>80</v>
      </c>
      <c r="AO84" s="187" t="s">
        <v>81</v>
      </c>
      <c r="AP84" s="183" t="s">
        <v>77</v>
      </c>
      <c r="AQ84" s="185" t="s">
        <v>70</v>
      </c>
      <c r="AR84" s="153" t="s">
        <v>94</v>
      </c>
      <c r="AS84" s="153" t="s">
        <v>45</v>
      </c>
      <c r="AT84" s="153" t="s">
        <v>79</v>
      </c>
      <c r="AU84" s="153" t="s">
        <v>68</v>
      </c>
      <c r="AV84" s="153" t="s">
        <v>34</v>
      </c>
      <c r="AW84" s="153" t="s">
        <v>69</v>
      </c>
      <c r="AX84" s="153" t="s">
        <v>72</v>
      </c>
      <c r="AY84" s="153" t="s">
        <v>80</v>
      </c>
      <c r="AZ84" s="187" t="s">
        <v>81</v>
      </c>
      <c r="BA84" s="183" t="s">
        <v>77</v>
      </c>
      <c r="BB84" s="185" t="s">
        <v>70</v>
      </c>
      <c r="BC84" s="153" t="s">
        <v>94</v>
      </c>
      <c r="BD84" s="153" t="s">
        <v>45</v>
      </c>
      <c r="BE84" s="153" t="s">
        <v>79</v>
      </c>
      <c r="BF84" s="153" t="s">
        <v>68</v>
      </c>
      <c r="BG84" s="153" t="s">
        <v>34</v>
      </c>
      <c r="BH84" s="153" t="s">
        <v>69</v>
      </c>
      <c r="BI84" s="153"/>
      <c r="BJ84" s="178"/>
      <c r="BK84" s="227"/>
      <c r="BL84" s="351"/>
      <c r="BM84" s="227"/>
      <c r="BN84" s="275"/>
      <c r="BO84" s="12"/>
    </row>
    <row r="85" spans="1:67" x14ac:dyDescent="0.25">
      <c r="A85" s="296"/>
      <c r="B85" s="116"/>
      <c r="C85" s="115"/>
      <c r="D85" s="178"/>
      <c r="E85" s="189">
        <f>BL81</f>
        <v>0</v>
      </c>
      <c r="F85" s="190">
        <f>IF($D$4=2023,1,0)</f>
        <v>0</v>
      </c>
      <c r="G85" s="178">
        <f>IF($B91="Yes",$C$5,$I91)</f>
        <v>12</v>
      </c>
      <c r="H85" s="191">
        <f>VLOOKUP(H90,'Lookup Tables'!$A$22:$B$33,2,FALSE)</f>
        <v>3</v>
      </c>
      <c r="I85" s="192">
        <f>VLOOKUP($E$4,'Lookup Tables'!$AB$46:$AN$58,MATCH($H85,'Lookup Tables'!$AB$46:$AN$46),FALSE)</f>
        <v>12</v>
      </c>
      <c r="J85" s="193">
        <f>VLOOKUP(H85,'Lookup Tables'!$A$3:$AA$16,MATCH(PersonCalcYr3!$G85,'Lookup Tables'!$A$3:$AA$3),FALSE)</f>
        <v>1.5161</v>
      </c>
      <c r="K85" s="194">
        <f>VLOOKUP($H90,'Lookup Tables'!$K$23:$L$34,2,FALSE)</f>
        <v>0</v>
      </c>
      <c r="L85" s="178">
        <f>IF(G85&lt;=K85,G85,K85)</f>
        <v>0</v>
      </c>
      <c r="M85" s="195">
        <f>IF(12-I85&gt;=1,1,0)</f>
        <v>0</v>
      </c>
      <c r="N85" s="196">
        <f>(('Rate Tables'!C19*PersonCalcYr3!E85)*PersonCalcYr3!L85)*PersonCalcYr3!F85*M85</f>
        <v>0</v>
      </c>
      <c r="O85" s="197">
        <f>G85-((J85+L85)*M85)</f>
        <v>12</v>
      </c>
      <c r="P85" s="197">
        <f>IF(O85&lt;0,O85*0,1)*O85</f>
        <v>12</v>
      </c>
      <c r="Q85" s="198">
        <f>H85+(L85*M85)+(J85*M85)</f>
        <v>3</v>
      </c>
      <c r="R85" s="199" t="str">
        <f>VLOOKUP(Q85,'Lookup Tables'!$A$38:$B$151,2,FALSE)</f>
        <v>Sept</v>
      </c>
      <c r="S85" s="191">
        <f>VLOOKUP(R85,'Lookup Tables'!$A$22:$B$33,2,FALSE)</f>
        <v>3</v>
      </c>
      <c r="T85" s="599">
        <f>VLOOKUP($E$4,'Lookup Tables'!$AB$63:$AN$75,MATCH(PersonCalcYr3!$S85,'Lookup Tables'!$AB$63:$AN$63),FALSE)</f>
        <v>0.5161</v>
      </c>
      <c r="U85" s="200">
        <f>VLOOKUP(S85,'Lookup Tables'!$A$3:$AA$16,MATCH(PersonCalcYr3!$P85,'Lookup Tables'!$A$3:$AA$3),FALSE)</f>
        <v>1.5161</v>
      </c>
      <c r="V85" s="496">
        <f>9-T85</f>
        <v>8.4839000000000002</v>
      </c>
      <c r="W85" s="201">
        <f>P85-U85</f>
        <v>10.4839</v>
      </c>
      <c r="X85" s="195">
        <f>IF(V85&lt;=W85,V85,W85)</f>
        <v>8.4839000000000002</v>
      </c>
      <c r="Y85" s="195">
        <f>IF(12-T85-U85-X85&gt;=0,1,0)</f>
        <v>1</v>
      </c>
      <c r="Z85" s="202">
        <f>((('Rate Tables'!D19*$E85)*PersonCalcYr3!$X85)*$F85)*Y85</f>
        <v>0</v>
      </c>
      <c r="AA85" s="197">
        <f>O85-(((U85*U91)+X85)*Y85)</f>
        <v>2</v>
      </c>
      <c r="AB85" s="197">
        <f>IF(AA85&lt;0,AA85*0,1)*AA85</f>
        <v>2</v>
      </c>
      <c r="AC85" s="601">
        <f>S85+(X85*Y85)+((U85*U91)*Y85)</f>
        <v>13</v>
      </c>
      <c r="AD85" s="199" t="str">
        <f>VLOOKUP(AC85,'Lookup Tables'!$A$38:$B$151,2,FALSE)</f>
        <v>July</v>
      </c>
      <c r="AE85" s="191">
        <f>VLOOKUP(AD85,'Lookup Tables'!$A$22:$B$33,2,FALSE)</f>
        <v>1</v>
      </c>
      <c r="AF85" s="200">
        <f>VLOOKUP(AE85,'Lookup Tables'!$A$3:$AA$16,MATCH(PersonCalcYr3!AB85,'Lookup Tables'!$A$3:$AA$3),FALSE)</f>
        <v>1.4839</v>
      </c>
      <c r="AG85" s="178">
        <v>9</v>
      </c>
      <c r="AH85" s="201">
        <f>AB85-AF85</f>
        <v>0.5161</v>
      </c>
      <c r="AI85" s="195">
        <f>IF(AG85&lt;=AH85,AG85,AH85)</f>
        <v>0.5161</v>
      </c>
      <c r="AJ85" s="195">
        <f>IF((AG85+AF85)&lt;=0,0,1)</f>
        <v>1</v>
      </c>
      <c r="AK85" s="204">
        <f>((('Rate Tables'!E19*$E85)*PersonCalcYr3!AI85)*$F85)*AJ85</f>
        <v>0</v>
      </c>
      <c r="AL85" s="197">
        <f>AB85-AF85-AI85</f>
        <v>0</v>
      </c>
      <c r="AM85" s="197">
        <f>IF(AL85&lt;0,AL85*0,1)*AL85</f>
        <v>0</v>
      </c>
      <c r="AN85" s="601">
        <f>AE85+(AI85*AJ85)+((AF85*AF91)*AJ85)</f>
        <v>3</v>
      </c>
      <c r="AO85" s="199" t="str">
        <f>VLOOKUP(AN85,'Lookup Tables'!$A$38:$B$151,2,FALSE)</f>
        <v>Sept</v>
      </c>
      <c r="AP85" s="191">
        <f>VLOOKUP(AO85,'Lookup Tables'!$A$22:$B$33,2,FALSE)</f>
        <v>3</v>
      </c>
      <c r="AQ85" s="200">
        <f>VLOOKUP(AP85,'Lookup Tables'!$A$3:$AA$16,MATCH(PersonCalcYr3!AM85,'Lookup Tables'!$A$3:$AA$3),FALSE)</f>
        <v>0</v>
      </c>
      <c r="AR85" s="178">
        <v>9</v>
      </c>
      <c r="AS85" s="201">
        <f>AM85-AQ85</f>
        <v>0</v>
      </c>
      <c r="AT85" s="195">
        <f>IF(AR85&lt;=AS85,AR85,AS85)</f>
        <v>0</v>
      </c>
      <c r="AU85" s="195">
        <f>IF((AR85+AQ85)&lt;=0,0,1)</f>
        <v>1</v>
      </c>
      <c r="AV85" s="204">
        <f>((('Rate Tables'!F19*$E85)*PersonCalcYr3!AT85)*$F85)*AU85</f>
        <v>0</v>
      </c>
      <c r="AW85" s="197">
        <f>AM85-AQ85-AT85</f>
        <v>0</v>
      </c>
      <c r="AX85" s="197">
        <f>IF(AW85&lt;0,AW85*0,1)*AW85</f>
        <v>0</v>
      </c>
      <c r="AY85" s="601">
        <f>AP85+(AT85*AU85)+((AQ85*AQ91)*AU85)</f>
        <v>3</v>
      </c>
      <c r="AZ85" s="199" t="str">
        <f>VLOOKUP(AY85,'Lookup Tables'!$A$38:$B$151,2,FALSE)</f>
        <v>Sept</v>
      </c>
      <c r="BA85" s="191">
        <f>VLOOKUP(AZ85,'Lookup Tables'!$A$22:$B$33,2,FALSE)</f>
        <v>3</v>
      </c>
      <c r="BB85" s="200">
        <f>VLOOKUP(BA85,'Lookup Tables'!$A$3:$AA$16,MATCH(PersonCalcYr3!AX85,'Lookup Tables'!$A$3:$AA$3),FALSE)</f>
        <v>0</v>
      </c>
      <c r="BC85" s="178">
        <v>9</v>
      </c>
      <c r="BD85" s="201">
        <f>AX85-BB85</f>
        <v>0</v>
      </c>
      <c r="BE85" s="195">
        <f>IF(BC85&lt;=BD85,BC85,BD85)</f>
        <v>0</v>
      </c>
      <c r="BF85" s="195">
        <f>IF((BC85+BB85)&lt;=0,0,1)</f>
        <v>1</v>
      </c>
      <c r="BG85" s="204">
        <f>((('Rate Tables'!G19*$E85)*PersonCalcYr3!BE85)*$F85)*BF85</f>
        <v>0</v>
      </c>
      <c r="BH85" s="197">
        <f>AX85-BB85-BE85</f>
        <v>0</v>
      </c>
      <c r="BI85" s="197"/>
      <c r="BJ85" s="178"/>
      <c r="BK85" s="227"/>
      <c r="BL85" s="349"/>
      <c r="BM85" s="227"/>
      <c r="BN85" s="275"/>
      <c r="BO85" s="12"/>
    </row>
    <row r="86" spans="1:67" x14ac:dyDescent="0.25">
      <c r="A86" s="296"/>
      <c r="B86" s="116"/>
      <c r="C86" s="117" t="s">
        <v>664</v>
      </c>
      <c r="D86" s="178"/>
      <c r="E86" s="153" t="s">
        <v>16</v>
      </c>
      <c r="F86" s="153" t="s">
        <v>42</v>
      </c>
      <c r="G86" s="153" t="s">
        <v>41</v>
      </c>
      <c r="H86" s="183" t="s">
        <v>77</v>
      </c>
      <c r="I86" s="184" t="s">
        <v>90</v>
      </c>
      <c r="J86" s="185" t="s">
        <v>70</v>
      </c>
      <c r="K86" s="186" t="s">
        <v>109</v>
      </c>
      <c r="L86" s="153" t="s">
        <v>53</v>
      </c>
      <c r="M86" s="153" t="s">
        <v>82</v>
      </c>
      <c r="N86" s="153" t="s">
        <v>32</v>
      </c>
      <c r="O86" s="153" t="s">
        <v>69</v>
      </c>
      <c r="P86" s="153" t="s">
        <v>72</v>
      </c>
      <c r="Q86" s="183" t="s">
        <v>80</v>
      </c>
      <c r="R86" s="187" t="s">
        <v>81</v>
      </c>
      <c r="S86" s="183" t="s">
        <v>77</v>
      </c>
      <c r="T86" s="598" t="s">
        <v>83</v>
      </c>
      <c r="U86" s="185" t="s">
        <v>70</v>
      </c>
      <c r="V86" s="153" t="s">
        <v>92</v>
      </c>
      <c r="W86" s="153" t="s">
        <v>44</v>
      </c>
      <c r="X86" s="153" t="s">
        <v>78</v>
      </c>
      <c r="Y86" s="153" t="s">
        <v>68</v>
      </c>
      <c r="Z86" s="153" t="s">
        <v>33</v>
      </c>
      <c r="AA86" s="153" t="s">
        <v>69</v>
      </c>
      <c r="AB86" s="153" t="s">
        <v>72</v>
      </c>
      <c r="AC86" s="153" t="s">
        <v>80</v>
      </c>
      <c r="AD86" s="187" t="s">
        <v>81</v>
      </c>
      <c r="AE86" s="183" t="s">
        <v>77</v>
      </c>
      <c r="AF86" s="185" t="s">
        <v>70</v>
      </c>
      <c r="AG86" s="153" t="s">
        <v>94</v>
      </c>
      <c r="AH86" s="153" t="s">
        <v>45</v>
      </c>
      <c r="AI86" s="153" t="s">
        <v>79</v>
      </c>
      <c r="AJ86" s="153" t="s">
        <v>68</v>
      </c>
      <c r="AK86" s="153" t="s">
        <v>34</v>
      </c>
      <c r="AL86" s="153" t="s">
        <v>69</v>
      </c>
      <c r="AM86" s="153" t="s">
        <v>72</v>
      </c>
      <c r="AN86" s="153" t="s">
        <v>80</v>
      </c>
      <c r="AO86" s="187" t="s">
        <v>81</v>
      </c>
      <c r="AP86" s="183" t="s">
        <v>77</v>
      </c>
      <c r="AQ86" s="185" t="s">
        <v>70</v>
      </c>
      <c r="AR86" s="153" t="s">
        <v>94</v>
      </c>
      <c r="AS86" s="153" t="s">
        <v>45</v>
      </c>
      <c r="AT86" s="153" t="s">
        <v>79</v>
      </c>
      <c r="AU86" s="153" t="s">
        <v>68</v>
      </c>
      <c r="AV86" s="153" t="s">
        <v>34</v>
      </c>
      <c r="AW86" s="153" t="s">
        <v>69</v>
      </c>
      <c r="AX86" s="153" t="s">
        <v>72</v>
      </c>
      <c r="AY86" s="153" t="s">
        <v>80</v>
      </c>
      <c r="AZ86" s="187" t="s">
        <v>81</v>
      </c>
      <c r="BA86" s="183" t="s">
        <v>77</v>
      </c>
      <c r="BB86" s="185" t="s">
        <v>70</v>
      </c>
      <c r="BC86" s="153" t="s">
        <v>94</v>
      </c>
      <c r="BD86" s="153" t="s">
        <v>45</v>
      </c>
      <c r="BE86" s="153" t="s">
        <v>79</v>
      </c>
      <c r="BF86" s="153" t="s">
        <v>68</v>
      </c>
      <c r="BG86" s="153" t="s">
        <v>34</v>
      </c>
      <c r="BH86" s="153" t="s">
        <v>69</v>
      </c>
      <c r="BI86" s="197"/>
      <c r="BJ86" s="178"/>
      <c r="BK86" s="227"/>
      <c r="BL86" s="349"/>
      <c r="BM86" s="227"/>
      <c r="BN86" s="275"/>
      <c r="BO86" s="12"/>
    </row>
    <row r="87" spans="1:67" x14ac:dyDescent="0.25">
      <c r="A87" s="296"/>
      <c r="B87" s="116"/>
      <c r="C87" s="115"/>
      <c r="D87" s="178"/>
      <c r="E87" s="189">
        <f>BL81</f>
        <v>0</v>
      </c>
      <c r="F87" s="190">
        <f>IF($D$4=2024,1,0)</f>
        <v>1</v>
      </c>
      <c r="G87" s="178">
        <f>IF($B91="Yes",$C$5,$I91)</f>
        <v>12</v>
      </c>
      <c r="H87" s="191">
        <f>VLOOKUP(H90,'Lookup Tables'!$A$22:$B$33,2,FALSE)</f>
        <v>3</v>
      </c>
      <c r="I87" s="192">
        <f>VLOOKUP($E$4,'Lookup Tables'!$AB$46:$AN$58,MATCH($H87,'Lookup Tables'!$AB$46:$AN$46),FALSE)</f>
        <v>12</v>
      </c>
      <c r="J87" s="193">
        <f>VLOOKUP(H87,'Lookup Tables'!$A$3:$AA$16,MATCH(PersonCalcYr3!$G87,'Lookup Tables'!$A$3:$AA$3),FALSE)</f>
        <v>1.5161</v>
      </c>
      <c r="K87" s="194">
        <f>VLOOKUP($H90,'Lookup Tables'!$K$23:$L$34,2,FALSE)</f>
        <v>0</v>
      </c>
      <c r="L87" s="178">
        <f>IF(G87&lt;=K87,G87,K87)</f>
        <v>0</v>
      </c>
      <c r="M87" s="195">
        <f>IF(12-I87&gt;=1,1,0)</f>
        <v>0</v>
      </c>
      <c r="N87" s="196">
        <f>(('Rate Tables'!D19*PersonCalcYr3!E87)*PersonCalcYr3!L87)*PersonCalcYr3!F87*M87</f>
        <v>0</v>
      </c>
      <c r="O87" s="197">
        <f>G87-((J87+L87)*M87)</f>
        <v>12</v>
      </c>
      <c r="P87" s="197">
        <f>IF(O87&lt;0,O87*0,1)*O87</f>
        <v>12</v>
      </c>
      <c r="Q87" s="198">
        <f>H87+(L87*M87)+(J87*M87)</f>
        <v>3</v>
      </c>
      <c r="R87" s="199" t="str">
        <f>VLOOKUP(Q87,'Lookup Tables'!$A$38:$B$151,2,FALSE)</f>
        <v>Sept</v>
      </c>
      <c r="S87" s="191">
        <f>VLOOKUP(R87,'Lookup Tables'!$A$22:$B$33,2,FALSE)</f>
        <v>3</v>
      </c>
      <c r="T87" s="599">
        <f>VLOOKUP($E$4,'Lookup Tables'!$AB$63:$AN$75,MATCH(PersonCalcYr3!$S87,'Lookup Tables'!$AB$63:$AN$63),FALSE)</f>
        <v>0.5161</v>
      </c>
      <c r="U87" s="200">
        <f>VLOOKUP(S87,'Lookup Tables'!$A$3:$AA$16,MATCH(PersonCalcYr3!$P87,'Lookup Tables'!$A$3:$AA$3),FALSE)</f>
        <v>1.5161</v>
      </c>
      <c r="V87" s="496">
        <f>9-T87</f>
        <v>8.4839000000000002</v>
      </c>
      <c r="W87" s="201">
        <f>P87-U87</f>
        <v>10.4839</v>
      </c>
      <c r="X87" s="195">
        <f>IF(V87&lt;=W87,V87,W87)</f>
        <v>8.4839000000000002</v>
      </c>
      <c r="Y87" s="195">
        <f>IF(12-T87-U87-X87&gt;=0,1,0)</f>
        <v>1</v>
      </c>
      <c r="Z87" s="202">
        <f>((('Rate Tables'!E19*$E87)*PersonCalcYr3!$X87)*$F87)*Y87</f>
        <v>0</v>
      </c>
      <c r="AA87" s="197">
        <f>O87-(((U87*U91)+X87)*Y87)</f>
        <v>2</v>
      </c>
      <c r="AB87" s="197">
        <f>IF(AA87&lt;0,AA87*0,1)*AA87</f>
        <v>2</v>
      </c>
      <c r="AC87" s="601">
        <f>S87+(X87*Y87)+((U87*U91)*Y87)</f>
        <v>13</v>
      </c>
      <c r="AD87" s="199" t="str">
        <f>VLOOKUP(AC87,'Lookup Tables'!$A$38:$B$151,2,FALSE)</f>
        <v>July</v>
      </c>
      <c r="AE87" s="191">
        <f>VLOOKUP(AD87,'Lookup Tables'!$A$22:$B$33,2,FALSE)</f>
        <v>1</v>
      </c>
      <c r="AF87" s="200">
        <f>VLOOKUP(AE87,'Lookup Tables'!$A$3:$AA$16,MATCH(PersonCalcYr3!AB87,'Lookup Tables'!$A$3:$AA$3),FALSE)</f>
        <v>1.4839</v>
      </c>
      <c r="AG87" s="178">
        <v>9</v>
      </c>
      <c r="AH87" s="201">
        <f>AB87-AF87</f>
        <v>0.5161</v>
      </c>
      <c r="AI87" s="195">
        <f>IF(AG87&lt;=AH87,AG87,AH87)</f>
        <v>0.5161</v>
      </c>
      <c r="AJ87" s="195">
        <f>IF((AG87+AF87)&lt;=0,0,1)</f>
        <v>1</v>
      </c>
      <c r="AK87" s="204">
        <f>((('Rate Tables'!F19*$E87)*PersonCalcYr3!AI87)*$F87)*AJ87</f>
        <v>0</v>
      </c>
      <c r="AL87" s="197">
        <f>AB87-AF87-AI87</f>
        <v>0</v>
      </c>
      <c r="AM87" s="197">
        <f>IF(AL87&lt;0,AL87*0,1)*AL87</f>
        <v>0</v>
      </c>
      <c r="AN87" s="601">
        <f>AE87+(AI87*AJ87)+((AF87*AF91)*AJ87)</f>
        <v>3</v>
      </c>
      <c r="AO87" s="199" t="str">
        <f>VLOOKUP(AN87,'Lookup Tables'!$A$38:$B$151,2,FALSE)</f>
        <v>Sept</v>
      </c>
      <c r="AP87" s="191">
        <f>VLOOKUP(AO87,'Lookup Tables'!$A$22:$B$33,2,FALSE)</f>
        <v>3</v>
      </c>
      <c r="AQ87" s="200">
        <f>VLOOKUP(AP87,'Lookup Tables'!$A$3:$AA$16,MATCH(PersonCalcYr3!AM87,'Lookup Tables'!$A$3:$AA$3),FALSE)</f>
        <v>0</v>
      </c>
      <c r="AR87" s="178">
        <v>9</v>
      </c>
      <c r="AS87" s="201">
        <f>AM87-AQ87</f>
        <v>0</v>
      </c>
      <c r="AT87" s="195">
        <f>IF(AR87&lt;=AS87,AR87,AS87)</f>
        <v>0</v>
      </c>
      <c r="AU87" s="195">
        <f>IF((AR87+AQ87)&lt;=0,0,1)</f>
        <v>1</v>
      </c>
      <c r="AV87" s="204">
        <f>((('Rate Tables'!G19*$E87)*PersonCalcYr3!AT87)*$F87)*AU87</f>
        <v>0</v>
      </c>
      <c r="AW87" s="197">
        <f>AM87-AQ87-AT87</f>
        <v>0</v>
      </c>
      <c r="AX87" s="197">
        <f>IF(AW87&lt;0,AW87*0,1)*AW87</f>
        <v>0</v>
      </c>
      <c r="AY87" s="601">
        <f>AP87+(AT87*AU87)+((AQ87*AQ91)*AU87)</f>
        <v>3</v>
      </c>
      <c r="AZ87" s="199" t="str">
        <f>VLOOKUP(AY87,'Lookup Tables'!$A$38:$B$151,2,FALSE)</f>
        <v>Sept</v>
      </c>
      <c r="BA87" s="191">
        <f>VLOOKUP(AZ87,'Lookup Tables'!$A$22:$B$33,2,FALSE)</f>
        <v>3</v>
      </c>
      <c r="BB87" s="200">
        <f>VLOOKUP(BA87,'Lookup Tables'!$A$3:$AA$16,MATCH(PersonCalcYr3!AX87,'Lookup Tables'!$A$3:$AA$3),FALSE)</f>
        <v>0</v>
      </c>
      <c r="BC87" s="178">
        <v>9</v>
      </c>
      <c r="BD87" s="201">
        <f>AX87-BB87</f>
        <v>0</v>
      </c>
      <c r="BE87" s="195">
        <f>IF(BC87&lt;=BD87,BC87,BD87)</f>
        <v>0</v>
      </c>
      <c r="BF87" s="195">
        <f>IF((BC87+BB87)&lt;=0,0,1)</f>
        <v>1</v>
      </c>
      <c r="BG87" s="204">
        <f>((('Rate Tables'!H19*$E87)*PersonCalcYr3!BE87)*$F87)*BF87</f>
        <v>0</v>
      </c>
      <c r="BH87" s="197">
        <f>AX87-BB87-BE87</f>
        <v>0</v>
      </c>
      <c r="BI87" s="197"/>
      <c r="BJ87" s="178"/>
      <c r="BK87" s="227"/>
      <c r="BL87" s="349"/>
      <c r="BM87" s="227"/>
      <c r="BN87" s="275"/>
      <c r="BO87" s="12"/>
    </row>
    <row r="88" spans="1:67" x14ac:dyDescent="0.25">
      <c r="A88" s="296"/>
      <c r="B88" s="116"/>
      <c r="C88" s="819" t="s">
        <v>732</v>
      </c>
      <c r="D88" s="178"/>
      <c r="E88" s="153" t="s">
        <v>16</v>
      </c>
      <c r="F88" s="153" t="s">
        <v>42</v>
      </c>
      <c r="G88" s="153" t="s">
        <v>41</v>
      </c>
      <c r="H88" s="183" t="s">
        <v>77</v>
      </c>
      <c r="I88" s="184" t="s">
        <v>90</v>
      </c>
      <c r="J88" s="185" t="s">
        <v>70</v>
      </c>
      <c r="K88" s="186" t="s">
        <v>109</v>
      </c>
      <c r="L88" s="153" t="s">
        <v>53</v>
      </c>
      <c r="M88" s="153" t="s">
        <v>82</v>
      </c>
      <c r="N88" s="153" t="s">
        <v>32</v>
      </c>
      <c r="O88" s="153" t="s">
        <v>69</v>
      </c>
      <c r="P88" s="153" t="s">
        <v>72</v>
      </c>
      <c r="Q88" s="183" t="s">
        <v>80</v>
      </c>
      <c r="R88" s="187" t="s">
        <v>81</v>
      </c>
      <c r="S88" s="183" t="s">
        <v>77</v>
      </c>
      <c r="T88" s="598" t="s">
        <v>83</v>
      </c>
      <c r="U88" s="185" t="s">
        <v>70</v>
      </c>
      <c r="V88" s="153" t="s">
        <v>92</v>
      </c>
      <c r="W88" s="153" t="s">
        <v>44</v>
      </c>
      <c r="X88" s="153" t="s">
        <v>78</v>
      </c>
      <c r="Y88" s="153" t="s">
        <v>68</v>
      </c>
      <c r="Z88" s="153" t="s">
        <v>33</v>
      </c>
      <c r="AA88" s="153" t="s">
        <v>69</v>
      </c>
      <c r="AB88" s="153" t="s">
        <v>72</v>
      </c>
      <c r="AC88" s="153" t="s">
        <v>80</v>
      </c>
      <c r="AD88" s="187" t="s">
        <v>81</v>
      </c>
      <c r="AE88" s="183" t="s">
        <v>77</v>
      </c>
      <c r="AF88" s="185" t="s">
        <v>70</v>
      </c>
      <c r="AG88" s="153" t="s">
        <v>94</v>
      </c>
      <c r="AH88" s="153" t="s">
        <v>45</v>
      </c>
      <c r="AI88" s="153" t="s">
        <v>79</v>
      </c>
      <c r="AJ88" s="153" t="s">
        <v>68</v>
      </c>
      <c r="AK88" s="153" t="s">
        <v>34</v>
      </c>
      <c r="AL88" s="153" t="s">
        <v>69</v>
      </c>
      <c r="AM88" s="153" t="s">
        <v>72</v>
      </c>
      <c r="AN88" s="153" t="s">
        <v>80</v>
      </c>
      <c r="AO88" s="187" t="s">
        <v>81</v>
      </c>
      <c r="AP88" s="183" t="s">
        <v>77</v>
      </c>
      <c r="AQ88" s="185" t="s">
        <v>70</v>
      </c>
      <c r="AR88" s="153" t="s">
        <v>94</v>
      </c>
      <c r="AS88" s="153" t="s">
        <v>45</v>
      </c>
      <c r="AT88" s="153" t="s">
        <v>79</v>
      </c>
      <c r="AU88" s="153" t="s">
        <v>68</v>
      </c>
      <c r="AV88" s="153" t="s">
        <v>34</v>
      </c>
      <c r="AW88" s="153" t="s">
        <v>69</v>
      </c>
      <c r="AX88" s="153" t="s">
        <v>72</v>
      </c>
      <c r="AY88" s="153" t="s">
        <v>80</v>
      </c>
      <c r="AZ88" s="187" t="s">
        <v>81</v>
      </c>
      <c r="BA88" s="183" t="s">
        <v>77</v>
      </c>
      <c r="BB88" s="185" t="s">
        <v>70</v>
      </c>
      <c r="BC88" s="153" t="s">
        <v>94</v>
      </c>
      <c r="BD88" s="153" t="s">
        <v>45</v>
      </c>
      <c r="BE88" s="153" t="s">
        <v>79</v>
      </c>
      <c r="BF88" s="153" t="s">
        <v>68</v>
      </c>
      <c r="BG88" s="153" t="s">
        <v>34</v>
      </c>
      <c r="BH88" s="153" t="s">
        <v>69</v>
      </c>
      <c r="BI88" s="197"/>
      <c r="BJ88" s="178"/>
      <c r="BK88" s="227"/>
      <c r="BL88" s="349"/>
      <c r="BM88" s="227"/>
      <c r="BN88" s="275"/>
      <c r="BO88" s="12"/>
    </row>
    <row r="89" spans="1:67" x14ac:dyDescent="0.25">
      <c r="A89" s="296"/>
      <c r="B89" s="116"/>
      <c r="C89" s="115"/>
      <c r="D89" s="178"/>
      <c r="E89" s="189">
        <f>BL81</f>
        <v>0</v>
      </c>
      <c r="F89" s="190">
        <f>IF($D$4=2025,1,0)</f>
        <v>0</v>
      </c>
      <c r="G89" s="178">
        <f>IF($B91="Yes",$C$5,$I91)</f>
        <v>12</v>
      </c>
      <c r="H89" s="191">
        <f>VLOOKUP(H90,'Lookup Tables'!$A$22:$B$33,2,FALSE)</f>
        <v>3</v>
      </c>
      <c r="I89" s="192">
        <f>VLOOKUP($E$4,'Lookup Tables'!$AB$46:$AN$58,MATCH($H89,'Lookup Tables'!$AB$46:$AN$46),FALSE)</f>
        <v>12</v>
      </c>
      <c r="J89" s="193">
        <f>VLOOKUP(H89,'Lookup Tables'!$A$3:$AA$16,MATCH(PersonCalcYr3!$G89,'Lookup Tables'!$A$3:$AA$3),FALSE)</f>
        <v>1.5161</v>
      </c>
      <c r="K89" s="194">
        <f>VLOOKUP($H90,'Lookup Tables'!$K$23:$L$34,2,FALSE)</f>
        <v>0</v>
      </c>
      <c r="L89" s="178">
        <f>IF(G89&lt;=K89,G89,K89)</f>
        <v>0</v>
      </c>
      <c r="M89" s="195">
        <f>IF(12-I89&gt;=1,1,0)</f>
        <v>0</v>
      </c>
      <c r="N89" s="196">
        <f>(('Rate Tables'!E19*PersonCalcYr3!E89)*PersonCalcYr3!L89)*PersonCalcYr3!F89*M89</f>
        <v>0</v>
      </c>
      <c r="O89" s="197">
        <f>G89-((J89+L89)*M89)</f>
        <v>12</v>
      </c>
      <c r="P89" s="197">
        <f>IF(O89&lt;0,O89*0,1)*O89</f>
        <v>12</v>
      </c>
      <c r="Q89" s="198">
        <f>H89+(L89*M89)+(J89*M89)</f>
        <v>3</v>
      </c>
      <c r="R89" s="199" t="str">
        <f>VLOOKUP(Q89,'Lookup Tables'!$A$38:$B$151,2,FALSE)</f>
        <v>Sept</v>
      </c>
      <c r="S89" s="191">
        <f>VLOOKUP(R89,'Lookup Tables'!$A$22:$B$33,2,FALSE)</f>
        <v>3</v>
      </c>
      <c r="T89" s="599">
        <f>VLOOKUP($E$4,'Lookup Tables'!$AB$63:$AN$75,MATCH(PersonCalcYr3!$S89,'Lookup Tables'!$AB$63:$AN$63),FALSE)</f>
        <v>0.5161</v>
      </c>
      <c r="U89" s="200">
        <f>VLOOKUP(S89,'Lookup Tables'!$A$3:$AA$16,MATCH(PersonCalcYr3!$P89,'Lookup Tables'!$A$3:$AA$3),FALSE)</f>
        <v>1.5161</v>
      </c>
      <c r="V89" s="496">
        <f>9-T89</f>
        <v>8.4839000000000002</v>
      </c>
      <c r="W89" s="201">
        <f>P89-U89</f>
        <v>10.4839</v>
      </c>
      <c r="X89" s="195">
        <f>IF(V89&lt;=W89,V89,W89)</f>
        <v>8.4839000000000002</v>
      </c>
      <c r="Y89" s="195">
        <f>IF(12-T89-U89-X89&gt;=0,1,0)</f>
        <v>1</v>
      </c>
      <c r="Z89" s="202">
        <f>((('Rate Tables'!F19*$E89)*PersonCalcYr3!$X89)*$F89)*Y89</f>
        <v>0</v>
      </c>
      <c r="AA89" s="197">
        <f>O89-(((U89*U91)+X89)*Y89)</f>
        <v>2</v>
      </c>
      <c r="AB89" s="197">
        <f>IF(AA89&lt;0,AA89*0,1)*AA89</f>
        <v>2</v>
      </c>
      <c r="AC89" s="601">
        <f>S89+(X89*Y89)+((U89*U91)*Y89)</f>
        <v>13</v>
      </c>
      <c r="AD89" s="199" t="str">
        <f>VLOOKUP(AC89,'Lookup Tables'!$A$38:$B$151,2,FALSE)</f>
        <v>July</v>
      </c>
      <c r="AE89" s="191">
        <f>VLOOKUP(AD89,'Lookup Tables'!$A$22:$B$33,2,FALSE)</f>
        <v>1</v>
      </c>
      <c r="AF89" s="200">
        <f>VLOOKUP(AE89,'Lookup Tables'!$A$3:$AA$16,MATCH(PersonCalcYr3!AB89,'Lookup Tables'!$A$3:$AA$3),FALSE)</f>
        <v>1.4839</v>
      </c>
      <c r="AG89" s="178">
        <v>9</v>
      </c>
      <c r="AH89" s="201">
        <f>AB89-AF89</f>
        <v>0.5161</v>
      </c>
      <c r="AI89" s="195">
        <f>IF(AG89&lt;=AH89,AG89,AH89)</f>
        <v>0.5161</v>
      </c>
      <c r="AJ89" s="195">
        <f>IF((AG89+AF89)&lt;=0,0,1)</f>
        <v>1</v>
      </c>
      <c r="AK89" s="204">
        <f>((('Rate Tables'!G19*$E89)*PersonCalcYr3!AI89)*$F89)*AJ89</f>
        <v>0</v>
      </c>
      <c r="AL89" s="197">
        <f>AB89-AF89-AI89</f>
        <v>0</v>
      </c>
      <c r="AM89" s="197">
        <f>IF(AL89&lt;0,AL89*0,1)*AL89</f>
        <v>0</v>
      </c>
      <c r="AN89" s="601">
        <f>AE89+(AI89*AJ89)+((AF89*AF91)*AJ89)</f>
        <v>3</v>
      </c>
      <c r="AO89" s="199" t="str">
        <f>VLOOKUP(AN89,'Lookup Tables'!$A$38:$B$151,2,FALSE)</f>
        <v>Sept</v>
      </c>
      <c r="AP89" s="191">
        <f>VLOOKUP(AO89,'Lookup Tables'!$A$22:$B$33,2,FALSE)</f>
        <v>3</v>
      </c>
      <c r="AQ89" s="200">
        <f>VLOOKUP(AP89,'Lookup Tables'!$A$3:$AA$16,MATCH(PersonCalcYr3!AM89,'Lookup Tables'!$A$3:$AA$3),FALSE)</f>
        <v>0</v>
      </c>
      <c r="AR89" s="178">
        <v>9</v>
      </c>
      <c r="AS89" s="201">
        <f>AM89-AQ89</f>
        <v>0</v>
      </c>
      <c r="AT89" s="195">
        <f>IF(AR89&lt;=AS89,AR89,AS89)</f>
        <v>0</v>
      </c>
      <c r="AU89" s="195">
        <f>IF((AR89+AQ89)&lt;=0,0,1)</f>
        <v>1</v>
      </c>
      <c r="AV89" s="204">
        <f>((('Rate Tables'!H19*$E89)*PersonCalcYr3!AT89)*$F89)*AU89</f>
        <v>0</v>
      </c>
      <c r="AW89" s="197">
        <f>AM89-AQ89-AT89</f>
        <v>0</v>
      </c>
      <c r="AX89" s="197">
        <f>IF(AW89&lt;0,AW89*0,1)*AW89</f>
        <v>0</v>
      </c>
      <c r="AY89" s="601">
        <f>AP89+(AT89*AU89)+((AQ89*AQ91)*AU89)</f>
        <v>3</v>
      </c>
      <c r="AZ89" s="199" t="str">
        <f>VLOOKUP(AY89,'Lookup Tables'!$A$38:$B$151,2,FALSE)</f>
        <v>Sept</v>
      </c>
      <c r="BA89" s="191">
        <f>VLOOKUP(AZ89,'Lookup Tables'!$A$22:$B$33,2,FALSE)</f>
        <v>3</v>
      </c>
      <c r="BB89" s="200">
        <f>VLOOKUP(BA89,'Lookup Tables'!$A$3:$AA$16,MATCH(PersonCalcYr3!AX89,'Lookup Tables'!$A$3:$AA$3),FALSE)</f>
        <v>0</v>
      </c>
      <c r="BC89" s="178">
        <v>9</v>
      </c>
      <c r="BD89" s="201">
        <f>AX89-BB89</f>
        <v>0</v>
      </c>
      <c r="BE89" s="195">
        <f>IF(BC89&lt;=BD89,BC89,BD89)</f>
        <v>0</v>
      </c>
      <c r="BF89" s="195">
        <f>IF((BC89+BB89)&lt;=0,0,1)</f>
        <v>1</v>
      </c>
      <c r="BG89" s="204">
        <f>((('Rate Tables'!I19*$E89)*PersonCalcYr3!BE89)*$F89)*BF89</f>
        <v>0</v>
      </c>
      <c r="BH89" s="197">
        <f>AX89-BB89-BE89</f>
        <v>0</v>
      </c>
      <c r="BI89" s="197"/>
      <c r="BJ89" s="178"/>
      <c r="BK89" s="227"/>
      <c r="BL89" s="349"/>
      <c r="BM89" s="227"/>
      <c r="BN89" s="275"/>
      <c r="BO89" s="12"/>
    </row>
    <row r="90" spans="1:67" x14ac:dyDescent="0.25">
      <c r="A90" s="296"/>
      <c r="B90" s="116"/>
      <c r="C90" s="115"/>
      <c r="D90" s="178"/>
      <c r="E90" s="205"/>
      <c r="F90" s="190"/>
      <c r="G90" s="178" t="s">
        <v>430</v>
      </c>
      <c r="H90" s="178" t="str">
        <f>IF(B91="yes",$C$4,A102)</f>
        <v>Sept</v>
      </c>
      <c r="I90" s="178"/>
      <c r="J90" s="178"/>
      <c r="K90" s="178"/>
      <c r="L90" s="178"/>
      <c r="M90" s="206"/>
      <c r="N90" s="207"/>
      <c r="O90" s="208"/>
      <c r="P90" s="190"/>
      <c r="Q90" s="190"/>
      <c r="R90" s="190"/>
      <c r="S90" s="190"/>
      <c r="T90" s="190"/>
      <c r="U90" s="178"/>
      <c r="V90" s="201"/>
      <c r="W90" s="201"/>
      <c r="X90" s="178"/>
      <c r="Y90" s="206"/>
      <c r="Z90" s="207"/>
      <c r="AA90" s="208"/>
      <c r="AB90" s="202"/>
      <c r="AC90" s="202"/>
      <c r="AD90" s="202"/>
      <c r="AE90" s="202"/>
      <c r="AF90" s="203"/>
      <c r="AG90" s="201"/>
      <c r="AH90" s="201"/>
      <c r="AI90" s="178"/>
      <c r="AJ90" s="206"/>
      <c r="AK90" s="207"/>
      <c r="AL90" s="208"/>
      <c r="AM90" s="202"/>
      <c r="AN90" s="202"/>
      <c r="AO90" s="202"/>
      <c r="AP90" s="202"/>
      <c r="AQ90" s="203"/>
      <c r="AR90" s="201"/>
      <c r="AS90" s="201"/>
      <c r="AT90" s="178"/>
      <c r="AU90" s="206"/>
      <c r="AV90" s="207"/>
      <c r="AW90" s="208"/>
      <c r="AX90" s="208"/>
      <c r="AY90" s="208"/>
      <c r="AZ90" s="208"/>
      <c r="BA90" s="208"/>
      <c r="BB90" s="208"/>
      <c r="BC90" s="208"/>
      <c r="BD90" s="208"/>
      <c r="BE90" s="208"/>
      <c r="BF90" s="208"/>
      <c r="BG90" s="208"/>
      <c r="BH90" s="202"/>
      <c r="BI90" s="202"/>
      <c r="BJ90" s="178"/>
      <c r="BK90" s="307" t="s">
        <v>450</v>
      </c>
      <c r="BL90" s="349">
        <f>IF(B81=0,0,1)</f>
        <v>1</v>
      </c>
      <c r="BM90" s="227"/>
      <c r="BN90" s="275"/>
      <c r="BO90" s="12"/>
    </row>
    <row r="91" spans="1:67" x14ac:dyDescent="0.25">
      <c r="A91" s="37" t="s">
        <v>431</v>
      </c>
      <c r="B91" s="375" t="str">
        <f>Personnel!U27</f>
        <v>YES</v>
      </c>
      <c r="C91" s="115"/>
      <c r="D91" s="178"/>
      <c r="E91" s="205"/>
      <c r="F91" s="190"/>
      <c r="G91" s="818" t="s">
        <v>665</v>
      </c>
      <c r="H91" s="11">
        <f>IF(H92&lt;$C$5,H92,$C$5)</f>
        <v>12</v>
      </c>
      <c r="I91" s="178">
        <f>IF(B102&lt;=H92,B102,H92)</f>
        <v>0</v>
      </c>
      <c r="J91" s="178"/>
      <c r="K91" s="178"/>
      <c r="L91" s="178"/>
      <c r="M91" s="178"/>
      <c r="N91" s="178"/>
      <c r="O91" s="178"/>
      <c r="P91" s="190"/>
      <c r="Q91" s="190"/>
      <c r="R91" s="190"/>
      <c r="S91" s="190"/>
      <c r="T91" s="605" t="s">
        <v>573</v>
      </c>
      <c r="U91" s="606">
        <f>VLOOKUP($E$4,'Lookup Tables'!$L$79:$X$91,MATCH(PersonCalcYr3!$S83,'Lookup Tables'!$L$79:$X$79),FALSE)</f>
        <v>1</v>
      </c>
      <c r="V91" s="201"/>
      <c r="W91" s="201"/>
      <c r="X91" s="201"/>
      <c r="Y91" s="195"/>
      <c r="Z91" s="195"/>
      <c r="AA91" s="202"/>
      <c r="AB91" s="202"/>
      <c r="AC91" s="202"/>
      <c r="AD91" s="202"/>
      <c r="AE91" s="605" t="s">
        <v>573</v>
      </c>
      <c r="AF91" s="714">
        <v>1</v>
      </c>
      <c r="AG91" s="201"/>
      <c r="AH91" s="201"/>
      <c r="AI91" s="201"/>
      <c r="AJ91" s="201"/>
      <c r="AK91" s="202"/>
      <c r="AL91" s="202"/>
      <c r="AM91" s="202"/>
      <c r="AN91" s="202"/>
      <c r="AO91" s="202"/>
      <c r="AP91" s="605" t="s">
        <v>573</v>
      </c>
      <c r="AQ91" s="714">
        <v>1</v>
      </c>
      <c r="AR91" s="201"/>
      <c r="AS91" s="201"/>
      <c r="AT91" s="201"/>
      <c r="AU91" s="201"/>
      <c r="AV91" s="202"/>
      <c r="AW91" s="202"/>
      <c r="AX91" s="202"/>
      <c r="AY91" s="202"/>
      <c r="AZ91" s="202"/>
      <c r="BA91" s="202"/>
      <c r="BB91" s="202"/>
      <c r="BC91" s="202"/>
      <c r="BD91" s="202"/>
      <c r="BE91" s="202"/>
      <c r="BF91" s="202"/>
      <c r="BG91" s="202"/>
      <c r="BH91" s="202"/>
      <c r="BI91" s="202"/>
      <c r="BJ91" s="178"/>
      <c r="BK91" s="748" t="s">
        <v>411</v>
      </c>
      <c r="BL91" s="460">
        <f>Personnel!W28</f>
        <v>0</v>
      </c>
      <c r="BM91" s="276" t="s">
        <v>117</v>
      </c>
      <c r="BN91" s="277">
        <f>(N94+W94+AJ94+AU94+BF94+N96+W96+AJ96+AU96+BF96+N98+W98+AJ98+AU98+BF98+N100+W100+AJ100+AU100+BF100)*BL90</f>
        <v>0</v>
      </c>
      <c r="BO91" s="224"/>
    </row>
    <row r="92" spans="1:67" x14ac:dyDescent="0.25">
      <c r="A92" s="296" t="s">
        <v>439</v>
      </c>
      <c r="B92" s="114" t="s">
        <v>427</v>
      </c>
      <c r="C92" s="114"/>
      <c r="D92" s="178"/>
      <c r="E92" s="178"/>
      <c r="F92" s="178"/>
      <c r="G92" s="818" t="s">
        <v>555</v>
      </c>
      <c r="H92" s="175">
        <f>VLOOKUP($E$4,'Lookup Tables'!$L$46:$AA$58,MATCH($H$83,'Lookup Tables'!$L$46:$X$46),FALSE)</f>
        <v>12</v>
      </c>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227"/>
      <c r="BL92" s="12"/>
      <c r="BM92" s="278" t="s">
        <v>96</v>
      </c>
      <c r="BN92" s="279">
        <f>BN81+BN91</f>
        <v>0</v>
      </c>
      <c r="BO92" s="369"/>
    </row>
    <row r="93" spans="1:67" x14ac:dyDescent="0.25">
      <c r="A93" s="296"/>
      <c r="B93" s="116"/>
      <c r="C93" s="117" t="s">
        <v>30</v>
      </c>
      <c r="D93" s="178"/>
      <c r="E93" s="153" t="s">
        <v>84</v>
      </c>
      <c r="F93" s="153" t="s">
        <v>42</v>
      </c>
      <c r="G93" s="153" t="s">
        <v>41</v>
      </c>
      <c r="H93" s="183" t="s">
        <v>77</v>
      </c>
      <c r="I93" s="209" t="s">
        <v>101</v>
      </c>
      <c r="J93" s="210" t="s">
        <v>102</v>
      </c>
      <c r="K93" s="153" t="s">
        <v>98</v>
      </c>
      <c r="L93" s="153" t="s">
        <v>100</v>
      </c>
      <c r="M93" s="153" t="s">
        <v>82</v>
      </c>
      <c r="N93" s="153" t="s">
        <v>31</v>
      </c>
      <c r="O93" s="153" t="s">
        <v>69</v>
      </c>
      <c r="P93" s="153" t="s">
        <v>72</v>
      </c>
      <c r="Q93" s="153" t="s">
        <v>103</v>
      </c>
      <c r="R93" s="183" t="s">
        <v>77</v>
      </c>
      <c r="S93" s="209" t="s">
        <v>101</v>
      </c>
      <c r="T93" s="210" t="s">
        <v>102</v>
      </c>
      <c r="U93" s="178" t="s">
        <v>98</v>
      </c>
      <c r="V93" s="153" t="s">
        <v>100</v>
      </c>
      <c r="W93" s="153" t="s">
        <v>32</v>
      </c>
      <c r="X93" s="153" t="s">
        <v>69</v>
      </c>
      <c r="Y93" s="153"/>
      <c r="Z93" s="153"/>
      <c r="AA93" s="178"/>
      <c r="AB93" s="153" t="s">
        <v>72</v>
      </c>
      <c r="AC93" s="153" t="s">
        <v>103</v>
      </c>
      <c r="AD93" s="153"/>
      <c r="AE93" s="183" t="s">
        <v>77</v>
      </c>
      <c r="AF93" s="209" t="s">
        <v>101</v>
      </c>
      <c r="AG93" s="210" t="s">
        <v>102</v>
      </c>
      <c r="AH93" s="178" t="s">
        <v>98</v>
      </c>
      <c r="AI93" s="153" t="s">
        <v>100</v>
      </c>
      <c r="AJ93" s="153" t="s">
        <v>33</v>
      </c>
      <c r="AK93" s="153" t="s">
        <v>69</v>
      </c>
      <c r="AL93" s="178"/>
      <c r="AM93" s="153" t="s">
        <v>72</v>
      </c>
      <c r="AN93" s="153" t="s">
        <v>103</v>
      </c>
      <c r="AO93" s="153"/>
      <c r="AP93" s="183" t="s">
        <v>77</v>
      </c>
      <c r="AQ93" s="209" t="s">
        <v>101</v>
      </c>
      <c r="AR93" s="210" t="s">
        <v>102</v>
      </c>
      <c r="AS93" s="178" t="s">
        <v>98</v>
      </c>
      <c r="AT93" s="153" t="s">
        <v>100</v>
      </c>
      <c r="AU93" s="153" t="s">
        <v>33</v>
      </c>
      <c r="AV93" s="153" t="s">
        <v>69</v>
      </c>
      <c r="AW93" s="178"/>
      <c r="AX93" s="153" t="s">
        <v>72</v>
      </c>
      <c r="AY93" s="153" t="s">
        <v>103</v>
      </c>
      <c r="AZ93" s="153"/>
      <c r="BA93" s="183" t="s">
        <v>77</v>
      </c>
      <c r="BB93" s="209" t="s">
        <v>101</v>
      </c>
      <c r="BC93" s="210" t="s">
        <v>102</v>
      </c>
      <c r="BD93" s="178" t="s">
        <v>98</v>
      </c>
      <c r="BE93" s="153" t="s">
        <v>100</v>
      </c>
      <c r="BF93" s="153" t="s">
        <v>33</v>
      </c>
      <c r="BG93" s="153" t="s">
        <v>69</v>
      </c>
      <c r="BH93" s="153"/>
      <c r="BI93" s="153"/>
      <c r="BJ93" s="178"/>
      <c r="BK93" s="276" t="s">
        <v>95</v>
      </c>
      <c r="BL93" s="12"/>
      <c r="BM93" s="227"/>
      <c r="BN93" s="275"/>
      <c r="BO93" s="12"/>
    </row>
    <row r="94" spans="1:67" x14ac:dyDescent="0.25">
      <c r="A94" s="296"/>
      <c r="B94" s="116"/>
      <c r="C94" s="115"/>
      <c r="D94" s="178"/>
      <c r="E94" s="211">
        <f>IF(H101&lt;=H102,H101,H102)</f>
        <v>0</v>
      </c>
      <c r="F94" s="190">
        <f>IF($D$4=2022,1,0)</f>
        <v>0</v>
      </c>
      <c r="G94" s="178">
        <f>IF($B91="Yes",$C$5,$I91)</f>
        <v>12</v>
      </c>
      <c r="H94" s="191">
        <f>H83</f>
        <v>3</v>
      </c>
      <c r="I94" s="212">
        <f>VLOOKUP(J83,'Lookup Tables'!$AB$22:$AC$31,2,FALSE)</f>
        <v>32</v>
      </c>
      <c r="J94" s="213">
        <f>VLOOKUP(U83,'Lookup Tables'!$AB$32:$AC$41,2,FALSE)</f>
        <v>33</v>
      </c>
      <c r="K94" s="203">
        <f>E94-J94</f>
        <v>-33</v>
      </c>
      <c r="L94" s="178">
        <f>IF(K94&gt;0,1,0)</f>
        <v>0</v>
      </c>
      <c r="M94" s="195">
        <f>M83</f>
        <v>0</v>
      </c>
      <c r="N94" s="196">
        <f>((((('Rate Tables'!B19*9)*0.02778)/5)*K94)*L94)*F94*M94</f>
        <v>0</v>
      </c>
      <c r="O94" s="197">
        <f>O83</f>
        <v>12</v>
      </c>
      <c r="P94" s="197">
        <f>IF(O94&lt;0,O94*0,1)*O94</f>
        <v>12</v>
      </c>
      <c r="Q94" s="203">
        <f>(E94-K94*F94*L94*M94)</f>
        <v>0</v>
      </c>
      <c r="R94" s="191">
        <f>S83</f>
        <v>3</v>
      </c>
      <c r="S94" s="212">
        <f>VLOOKUP(U83,'Lookup Tables'!$AB$22:$AC$31,2,FALSE)</f>
        <v>32</v>
      </c>
      <c r="T94" s="213">
        <f>VLOOKUP(AF83,'Lookup Tables'!$AB$32:$AC$41,2,FALSE)</f>
        <v>33</v>
      </c>
      <c r="U94" s="206">
        <f>Q94-T94</f>
        <v>-33</v>
      </c>
      <c r="V94" s="178">
        <f>IF(U94&gt;0,1,0)</f>
        <v>0</v>
      </c>
      <c r="W94" s="196">
        <f>((('Rate Tables'!C19*9)*0.02778)/5)*U94*F94*V94</f>
        <v>0</v>
      </c>
      <c r="X94" s="197">
        <f>AA83</f>
        <v>2</v>
      </c>
      <c r="Y94" s="178"/>
      <c r="Z94" s="195"/>
      <c r="AA94" s="178"/>
      <c r="AB94" s="197">
        <f>IF(X94&lt;0,X94*0,1)*X94</f>
        <v>2</v>
      </c>
      <c r="AC94" s="203">
        <f>Q94-(U94*V94)</f>
        <v>0</v>
      </c>
      <c r="AD94" s="178"/>
      <c r="AE94" s="191">
        <f>AE83</f>
        <v>1</v>
      </c>
      <c r="AF94" s="212">
        <f>VLOOKUP(AF83,'Lookup Tables'!$AB$22:$AC$31,2,FALSE)</f>
        <v>32</v>
      </c>
      <c r="AG94" s="213">
        <f>VLOOKUP(AQ83,'Lookup Tables'!$AB$32:$AC$41,2,FALSE)</f>
        <v>0</v>
      </c>
      <c r="AH94" s="208">
        <f>AC94-AG94</f>
        <v>0</v>
      </c>
      <c r="AI94" s="178">
        <f>IF(AH94&gt;0,1,0)</f>
        <v>0</v>
      </c>
      <c r="AJ94" s="196">
        <f>((('Rate Tables'!D19*9)*0.02778)/5)*AH94*AI94*F94</f>
        <v>0</v>
      </c>
      <c r="AK94" s="197">
        <f>AL83</f>
        <v>0</v>
      </c>
      <c r="AL94" s="178"/>
      <c r="AM94" s="197">
        <f>IF(AK94&lt;0,AK94*0,1)*AK94</f>
        <v>0</v>
      </c>
      <c r="AN94" s="203">
        <f>AC94-(AH94*AI94)</f>
        <v>0</v>
      </c>
      <c r="AO94" s="178"/>
      <c r="AP94" s="191">
        <f>AP83</f>
        <v>3</v>
      </c>
      <c r="AQ94" s="212">
        <f>VLOOKUP(AQ83,'Lookup Tables'!$AB$22:$AC$31,2,FALSE)</f>
        <v>0</v>
      </c>
      <c r="AR94" s="213">
        <f>VLOOKUP(BB83,'Lookup Tables'!$AB$32:$AC$41,2,FALSE)</f>
        <v>0</v>
      </c>
      <c r="AS94" s="208">
        <f>AN94-AR94</f>
        <v>0</v>
      </c>
      <c r="AT94" s="178">
        <f>IF(AS94&gt;0,1,0)</f>
        <v>0</v>
      </c>
      <c r="AU94" s="196">
        <f>((('Rate Tables'!E19*9)*0.02778)/5)*AS94*AT94*F94</f>
        <v>0</v>
      </c>
      <c r="AV94" s="197">
        <f>AW83</f>
        <v>0</v>
      </c>
      <c r="AW94" s="178"/>
      <c r="AX94" s="197">
        <f>IF(AV94&lt;0,AV94*0,1)*AV94</f>
        <v>0</v>
      </c>
      <c r="AY94" s="203">
        <f>AN94-(AS94*AT94)</f>
        <v>0</v>
      </c>
      <c r="AZ94" s="178"/>
      <c r="BA94" s="191">
        <f>BA83</f>
        <v>3</v>
      </c>
      <c r="BB94" s="212">
        <f>VLOOKUP(BB83,'Lookup Tables'!$AB$22:$AC$31,2,FALSE)</f>
        <v>0</v>
      </c>
      <c r="BC94" s="213">
        <v>0</v>
      </c>
      <c r="BD94" s="208">
        <f>AY94-BC94</f>
        <v>0</v>
      </c>
      <c r="BE94" s="178">
        <f>IF(BD94&gt;0,1,0)</f>
        <v>0</v>
      </c>
      <c r="BF94" s="196">
        <f>((('Rate Tables'!F19*9)*0.02778)/5)*BD94*BE94*F94</f>
        <v>0</v>
      </c>
      <c r="BG94" s="197">
        <f>BH83</f>
        <v>0</v>
      </c>
      <c r="BH94" s="197"/>
      <c r="BI94" s="197"/>
      <c r="BJ94" s="178"/>
      <c r="BK94" s="716">
        <f>BL91</f>
        <v>0</v>
      </c>
      <c r="BL94" s="225"/>
      <c r="BM94" s="227"/>
      <c r="BN94" s="275"/>
      <c r="BO94" s="12" t="s">
        <v>418</v>
      </c>
    </row>
    <row r="95" spans="1:67" x14ac:dyDescent="0.25">
      <c r="A95" s="296"/>
      <c r="B95" s="116"/>
      <c r="C95" s="117" t="s">
        <v>597</v>
      </c>
      <c r="D95" s="178"/>
      <c r="E95" s="153" t="s">
        <v>84</v>
      </c>
      <c r="F95" s="153" t="s">
        <v>42</v>
      </c>
      <c r="G95" s="153" t="s">
        <v>41</v>
      </c>
      <c r="H95" s="183" t="s">
        <v>77</v>
      </c>
      <c r="I95" s="209" t="s">
        <v>105</v>
      </c>
      <c r="J95" s="210" t="s">
        <v>106</v>
      </c>
      <c r="K95" s="153" t="s">
        <v>99</v>
      </c>
      <c r="L95" s="153" t="s">
        <v>100</v>
      </c>
      <c r="M95" s="153" t="s">
        <v>82</v>
      </c>
      <c r="N95" s="153" t="s">
        <v>32</v>
      </c>
      <c r="O95" s="153" t="s">
        <v>69</v>
      </c>
      <c r="P95" s="153" t="s">
        <v>72</v>
      </c>
      <c r="Q95" s="153" t="s">
        <v>103</v>
      </c>
      <c r="R95" s="183" t="s">
        <v>77</v>
      </c>
      <c r="S95" s="209" t="s">
        <v>105</v>
      </c>
      <c r="T95" s="210" t="s">
        <v>106</v>
      </c>
      <c r="U95" s="178" t="s">
        <v>98</v>
      </c>
      <c r="V95" s="153" t="s">
        <v>100</v>
      </c>
      <c r="W95" s="153" t="s">
        <v>33</v>
      </c>
      <c r="X95" s="153" t="s">
        <v>69</v>
      </c>
      <c r="Y95" s="153"/>
      <c r="Z95" s="153"/>
      <c r="AA95" s="178"/>
      <c r="AB95" s="153" t="s">
        <v>72</v>
      </c>
      <c r="AC95" s="153" t="s">
        <v>104</v>
      </c>
      <c r="AD95" s="153"/>
      <c r="AE95" s="183" t="s">
        <v>77</v>
      </c>
      <c r="AF95" s="209" t="s">
        <v>105</v>
      </c>
      <c r="AG95" s="210" t="s">
        <v>106</v>
      </c>
      <c r="AH95" s="178" t="s">
        <v>98</v>
      </c>
      <c r="AI95" s="153" t="s">
        <v>100</v>
      </c>
      <c r="AJ95" s="153" t="s">
        <v>34</v>
      </c>
      <c r="AK95" s="153" t="s">
        <v>69</v>
      </c>
      <c r="AL95" s="178"/>
      <c r="AM95" s="153" t="s">
        <v>72</v>
      </c>
      <c r="AN95" s="153" t="s">
        <v>104</v>
      </c>
      <c r="AO95" s="153"/>
      <c r="AP95" s="183" t="s">
        <v>77</v>
      </c>
      <c r="AQ95" s="209" t="s">
        <v>105</v>
      </c>
      <c r="AR95" s="210" t="s">
        <v>106</v>
      </c>
      <c r="AS95" s="178" t="s">
        <v>98</v>
      </c>
      <c r="AT95" s="153" t="s">
        <v>100</v>
      </c>
      <c r="AU95" s="153" t="s">
        <v>34</v>
      </c>
      <c r="AV95" s="153" t="s">
        <v>69</v>
      </c>
      <c r="AW95" s="178"/>
      <c r="AX95" s="153" t="s">
        <v>72</v>
      </c>
      <c r="AY95" s="153" t="s">
        <v>104</v>
      </c>
      <c r="AZ95" s="153"/>
      <c r="BA95" s="183" t="s">
        <v>77</v>
      </c>
      <c r="BB95" s="209" t="s">
        <v>105</v>
      </c>
      <c r="BC95" s="210" t="s">
        <v>106</v>
      </c>
      <c r="BD95" s="178" t="s">
        <v>98</v>
      </c>
      <c r="BE95" s="153" t="s">
        <v>100</v>
      </c>
      <c r="BF95" s="153" t="s">
        <v>34</v>
      </c>
      <c r="BG95" s="153" t="s">
        <v>69</v>
      </c>
      <c r="BH95" s="178"/>
      <c r="BI95" s="178"/>
      <c r="BJ95" s="178"/>
      <c r="BK95" s="227"/>
      <c r="BL95" s="224"/>
      <c r="BM95" s="227" t="s">
        <v>451</v>
      </c>
      <c r="BN95" s="275">
        <f>(VLOOKUP($B81,'Rate Tables'!$O$2:$P$8,2,FALSE))</f>
        <v>0.2697</v>
      </c>
      <c r="BO95" s="372">
        <f>VLOOKUP('F&amp;ARatesCalc'!$B$1,'F&amp;ARatesCalc'!$A$3:$B$5,2,FALSE)</f>
        <v>0.56999999999999995</v>
      </c>
    </row>
    <row r="96" spans="1:67" x14ac:dyDescent="0.25">
      <c r="A96" s="296"/>
      <c r="B96" s="116"/>
      <c r="C96" s="115"/>
      <c r="D96" s="178"/>
      <c r="E96" s="211">
        <f>E94</f>
        <v>0</v>
      </c>
      <c r="F96" s="190">
        <f>IF($D$4=2023,1,0)</f>
        <v>0</v>
      </c>
      <c r="G96" s="178">
        <f>IF($B91="Yes",$C$5,$I91)</f>
        <v>12</v>
      </c>
      <c r="H96" s="191">
        <f>H85</f>
        <v>3</v>
      </c>
      <c r="I96" s="212">
        <f>VLOOKUP(J85,'Lookup Tables'!$AB$22:$AC$31,2,FALSE)</f>
        <v>32</v>
      </c>
      <c r="J96" s="213">
        <f>VLOOKUP(U85,'Lookup Tables'!$AB$32:$AC$41,2,FALSE)</f>
        <v>33</v>
      </c>
      <c r="K96" s="203">
        <f>E96-J96</f>
        <v>-33</v>
      </c>
      <c r="L96" s="178">
        <f>IF(K96&gt;0,1,0)</f>
        <v>0</v>
      </c>
      <c r="M96" s="195">
        <f>M85</f>
        <v>0</v>
      </c>
      <c r="N96" s="196">
        <f>((((('Rate Tables'!C19*9)*0.02778)/5)*K96)*L96)*F96*M96</f>
        <v>0</v>
      </c>
      <c r="O96" s="197">
        <f>O85</f>
        <v>12</v>
      </c>
      <c r="P96" s="197">
        <f>IF(O96&lt;0,O96*0,1)*O96</f>
        <v>12</v>
      </c>
      <c r="Q96" s="203">
        <f>(E96-K96*F96*L96*M96)</f>
        <v>0</v>
      </c>
      <c r="R96" s="191">
        <f>S85</f>
        <v>3</v>
      </c>
      <c r="S96" s="212">
        <f>VLOOKUP(U85,'Lookup Tables'!$AB$22:$AC$31,2,FALSE)</f>
        <v>32</v>
      </c>
      <c r="T96" s="213">
        <f>VLOOKUP(AF85,'Lookup Tables'!$AB$32:$AC$41,2,FALSE)</f>
        <v>33</v>
      </c>
      <c r="U96" s="206">
        <f>Q96-T96</f>
        <v>-33</v>
      </c>
      <c r="V96" s="178">
        <f>IF(U96&gt;0,1,0)</f>
        <v>0</v>
      </c>
      <c r="W96" s="196">
        <f>((('Rate Tables'!D19*9)*0.02778)/5)*U96*F96*V96</f>
        <v>0</v>
      </c>
      <c r="X96" s="197">
        <f>AA85</f>
        <v>2</v>
      </c>
      <c r="Y96" s="178"/>
      <c r="Z96" s="195"/>
      <c r="AA96" s="178"/>
      <c r="AB96" s="197">
        <f>IF(X96&lt;0,X96*0,1)*X96</f>
        <v>2</v>
      </c>
      <c r="AC96" s="203">
        <f>Q96-(U96*V96)</f>
        <v>0</v>
      </c>
      <c r="AD96" s="178"/>
      <c r="AE96" s="191">
        <f>AE85</f>
        <v>1</v>
      </c>
      <c r="AF96" s="212">
        <f>VLOOKUP(AF85,'Lookup Tables'!$AB$22:$AC$31,2,FALSE)</f>
        <v>32</v>
      </c>
      <c r="AG96" s="213">
        <f>VLOOKUP(AQ85,'Lookup Tables'!$AB$32:$AC$41,2,FALSE)</f>
        <v>0</v>
      </c>
      <c r="AH96" s="208">
        <f>AC96-AG96</f>
        <v>0</v>
      </c>
      <c r="AI96" s="178">
        <f>IF(AH96&gt;0,1,0)</f>
        <v>0</v>
      </c>
      <c r="AJ96" s="196">
        <f>((('Rate Tables'!E19*9)*0.02778)/5)*AH96*AI96*F96</f>
        <v>0</v>
      </c>
      <c r="AK96" s="197">
        <f>AL85</f>
        <v>0</v>
      </c>
      <c r="AL96" s="178"/>
      <c r="AM96" s="197">
        <f>IF(AK96&lt;0,AK96*0,1)*AK96</f>
        <v>0</v>
      </c>
      <c r="AN96" s="203">
        <f>AC96-(AH96*AI96)</f>
        <v>0</v>
      </c>
      <c r="AO96" s="178"/>
      <c r="AP96" s="191">
        <f>AP85</f>
        <v>3</v>
      </c>
      <c r="AQ96" s="212">
        <f>VLOOKUP(AQ85,'Lookup Tables'!$AB$22:$AC$31,2,FALSE)</f>
        <v>0</v>
      </c>
      <c r="AR96" s="213">
        <f>VLOOKUP(BB85,'Lookup Tables'!$AB$32:$AC$41,2,FALSE)</f>
        <v>0</v>
      </c>
      <c r="AS96" s="208">
        <f>AN96-AR96</f>
        <v>0</v>
      </c>
      <c r="AT96" s="178">
        <f>IF(AS96&gt;0,1,0)</f>
        <v>0</v>
      </c>
      <c r="AU96" s="196">
        <f>((('Rate Tables'!F19*9)*0.02778)/5)*AS96*AT96*F96</f>
        <v>0</v>
      </c>
      <c r="AV96" s="197">
        <f>AW85</f>
        <v>0</v>
      </c>
      <c r="AW96" s="178"/>
      <c r="AX96" s="197">
        <f>IF(AV96&lt;0,AV96*0,1)*AV96</f>
        <v>0</v>
      </c>
      <c r="AY96" s="203">
        <f>AN96-(AS96*AT96)</f>
        <v>0</v>
      </c>
      <c r="AZ96" s="178"/>
      <c r="BA96" s="191">
        <f>BA85</f>
        <v>3</v>
      </c>
      <c r="BB96" s="212">
        <f>VLOOKUP(BB85,'Lookup Tables'!$AB$22:$AC$31,2,FALSE)</f>
        <v>0</v>
      </c>
      <c r="BC96" s="213">
        <v>0</v>
      </c>
      <c r="BD96" s="208">
        <f>AY96-BC96</f>
        <v>0</v>
      </c>
      <c r="BE96" s="178">
        <f>IF(BD96&gt;0,1,0)</f>
        <v>0</v>
      </c>
      <c r="BF96" s="196">
        <f>((('Rate Tables'!G19*9)*0.02778)/5)*BD96*BE96*F96</f>
        <v>0</v>
      </c>
      <c r="BG96" s="197">
        <f>BH85</f>
        <v>0</v>
      </c>
      <c r="BH96" s="178"/>
      <c r="BI96" s="178"/>
      <c r="BJ96" s="178"/>
      <c r="BK96" s="227"/>
      <c r="BL96" s="12"/>
      <c r="BM96" s="227" t="s">
        <v>452</v>
      </c>
      <c r="BN96" s="275">
        <f>_xlfn.IFNA(BN95,0)</f>
        <v>0.2697</v>
      </c>
      <c r="BO96" s="12" t="s">
        <v>417</v>
      </c>
    </row>
    <row r="97" spans="1:67" x14ac:dyDescent="0.25">
      <c r="A97" s="296"/>
      <c r="B97" s="116"/>
      <c r="C97" s="117" t="s">
        <v>664</v>
      </c>
      <c r="D97" s="178"/>
      <c r="E97" s="153" t="s">
        <v>84</v>
      </c>
      <c r="F97" s="153" t="s">
        <v>42</v>
      </c>
      <c r="G97" s="153" t="s">
        <v>41</v>
      </c>
      <c r="H97" s="183" t="s">
        <v>77</v>
      </c>
      <c r="I97" s="209" t="s">
        <v>105</v>
      </c>
      <c r="J97" s="210" t="s">
        <v>106</v>
      </c>
      <c r="K97" s="153" t="s">
        <v>99</v>
      </c>
      <c r="L97" s="153" t="s">
        <v>100</v>
      </c>
      <c r="M97" s="153" t="s">
        <v>82</v>
      </c>
      <c r="N97" s="153" t="s">
        <v>32</v>
      </c>
      <c r="O97" s="153" t="s">
        <v>69</v>
      </c>
      <c r="P97" s="153" t="s">
        <v>72</v>
      </c>
      <c r="Q97" s="153" t="s">
        <v>103</v>
      </c>
      <c r="R97" s="183" t="s">
        <v>77</v>
      </c>
      <c r="S97" s="209" t="s">
        <v>105</v>
      </c>
      <c r="T97" s="210" t="s">
        <v>106</v>
      </c>
      <c r="U97" s="178" t="s">
        <v>98</v>
      </c>
      <c r="V97" s="153" t="s">
        <v>100</v>
      </c>
      <c r="W97" s="153" t="s">
        <v>33</v>
      </c>
      <c r="X97" s="153" t="s">
        <v>69</v>
      </c>
      <c r="Y97" s="153"/>
      <c r="Z97" s="153"/>
      <c r="AA97" s="178"/>
      <c r="AB97" s="153" t="s">
        <v>72</v>
      </c>
      <c r="AC97" s="153" t="s">
        <v>104</v>
      </c>
      <c r="AD97" s="153"/>
      <c r="AE97" s="183" t="s">
        <v>77</v>
      </c>
      <c r="AF97" s="209" t="s">
        <v>105</v>
      </c>
      <c r="AG97" s="210" t="s">
        <v>106</v>
      </c>
      <c r="AH97" s="178" t="s">
        <v>98</v>
      </c>
      <c r="AI97" s="153" t="s">
        <v>100</v>
      </c>
      <c r="AJ97" s="153" t="s">
        <v>34</v>
      </c>
      <c r="AK97" s="153" t="s">
        <v>69</v>
      </c>
      <c r="AL97" s="178"/>
      <c r="AM97" s="153" t="s">
        <v>72</v>
      </c>
      <c r="AN97" s="153" t="s">
        <v>104</v>
      </c>
      <c r="AO97" s="153"/>
      <c r="AP97" s="183" t="s">
        <v>77</v>
      </c>
      <c r="AQ97" s="209" t="s">
        <v>105</v>
      </c>
      <c r="AR97" s="210" t="s">
        <v>106</v>
      </c>
      <c r="AS97" s="178" t="s">
        <v>98</v>
      </c>
      <c r="AT97" s="153" t="s">
        <v>100</v>
      </c>
      <c r="AU97" s="153" t="s">
        <v>34</v>
      </c>
      <c r="AV97" s="153" t="s">
        <v>69</v>
      </c>
      <c r="AW97" s="178"/>
      <c r="AX97" s="153" t="s">
        <v>72</v>
      </c>
      <c r="AY97" s="153" t="s">
        <v>104</v>
      </c>
      <c r="AZ97" s="153"/>
      <c r="BA97" s="183" t="s">
        <v>77</v>
      </c>
      <c r="BB97" s="209" t="s">
        <v>105</v>
      </c>
      <c r="BC97" s="210" t="s">
        <v>106</v>
      </c>
      <c r="BD97" s="178" t="s">
        <v>98</v>
      </c>
      <c r="BE97" s="153" t="s">
        <v>100</v>
      </c>
      <c r="BF97" s="153" t="s">
        <v>34</v>
      </c>
      <c r="BG97" s="153" t="s">
        <v>69</v>
      </c>
      <c r="BH97" s="178"/>
      <c r="BI97" s="178"/>
      <c r="BJ97" s="178"/>
      <c r="BK97" s="227"/>
      <c r="BL97" s="12"/>
      <c r="BM97" s="227"/>
      <c r="BN97" s="275"/>
      <c r="BO97" s="12"/>
    </row>
    <row r="98" spans="1:67" x14ac:dyDescent="0.25">
      <c r="A98" s="296"/>
      <c r="B98" s="116"/>
      <c r="C98" s="115"/>
      <c r="D98" s="178"/>
      <c r="E98" s="211">
        <f>E96</f>
        <v>0</v>
      </c>
      <c r="F98" s="190">
        <f>IF($D$4=2024,1,0)</f>
        <v>1</v>
      </c>
      <c r="G98" s="178">
        <f>IF($B91="Yes",$C$5,$I91)</f>
        <v>12</v>
      </c>
      <c r="H98" s="191">
        <f>H87</f>
        <v>3</v>
      </c>
      <c r="I98" s="212">
        <f>VLOOKUP(J87,'Lookup Tables'!$AB$22:$AC$31,2,FALSE)</f>
        <v>32</v>
      </c>
      <c r="J98" s="213">
        <f>VLOOKUP(U87,'Lookup Tables'!$AB$32:$AC$41,2,FALSE)</f>
        <v>33</v>
      </c>
      <c r="K98" s="203">
        <f>E98-J98</f>
        <v>-33</v>
      </c>
      <c r="L98" s="178">
        <f>IF(K98&gt;0,1,0)</f>
        <v>0</v>
      </c>
      <c r="M98" s="195">
        <f>M87</f>
        <v>0</v>
      </c>
      <c r="N98" s="196">
        <f>((((('Rate Tables'!D19*9)*0.02778)/5)*K98)*L98)*F98*M98</f>
        <v>0</v>
      </c>
      <c r="O98" s="197">
        <f>O87</f>
        <v>12</v>
      </c>
      <c r="P98" s="197">
        <f>IF(O98&lt;0,O98*0,1)*O98</f>
        <v>12</v>
      </c>
      <c r="Q98" s="203">
        <f>(E98-K98*F98*L98*M98)</f>
        <v>0</v>
      </c>
      <c r="R98" s="191">
        <f>S87</f>
        <v>3</v>
      </c>
      <c r="S98" s="212">
        <f>VLOOKUP(U87,'Lookup Tables'!$AB$22:$AC$31,2,FALSE)</f>
        <v>32</v>
      </c>
      <c r="T98" s="213">
        <f>VLOOKUP(AF87,'Lookup Tables'!$AB$32:$AC$41,2,FALSE)</f>
        <v>33</v>
      </c>
      <c r="U98" s="206">
        <f>Q98-T98</f>
        <v>-33</v>
      </c>
      <c r="V98" s="178">
        <f>IF(U98&gt;0,1,0)</f>
        <v>0</v>
      </c>
      <c r="W98" s="196">
        <f>((('Rate Tables'!E19*9)*0.02778)/5)*U98*F98*V98</f>
        <v>0</v>
      </c>
      <c r="X98" s="197">
        <f>AA87</f>
        <v>2</v>
      </c>
      <c r="Y98" s="178"/>
      <c r="Z98" s="195"/>
      <c r="AA98" s="178"/>
      <c r="AB98" s="197">
        <f>IF(X98&lt;0,X98*0,1)*X98</f>
        <v>2</v>
      </c>
      <c r="AC98" s="203">
        <f>Q98-(U98*V98)</f>
        <v>0</v>
      </c>
      <c r="AD98" s="178"/>
      <c r="AE98" s="191">
        <f>AE87</f>
        <v>1</v>
      </c>
      <c r="AF98" s="212">
        <f>VLOOKUP(AF87,'Lookup Tables'!$AB$22:$AC$31,2,FALSE)</f>
        <v>32</v>
      </c>
      <c r="AG98" s="213">
        <f>VLOOKUP(AQ87,'Lookup Tables'!$AB$32:$AC$41,2,FALSE)</f>
        <v>0</v>
      </c>
      <c r="AH98" s="208">
        <f>AC98-AG98</f>
        <v>0</v>
      </c>
      <c r="AI98" s="178">
        <f>IF(AH98&gt;0,1,0)</f>
        <v>0</v>
      </c>
      <c r="AJ98" s="196">
        <f>((('Rate Tables'!F19*9)*0.02778)/5)*AH98*AI98*F98</f>
        <v>0</v>
      </c>
      <c r="AK98" s="197">
        <f>AL87</f>
        <v>0</v>
      </c>
      <c r="AL98" s="178"/>
      <c r="AM98" s="197">
        <f>IF(AK98&lt;0,AK98*0,1)*AK98</f>
        <v>0</v>
      </c>
      <c r="AN98" s="203">
        <f>AC98-(AH98*AI98)</f>
        <v>0</v>
      </c>
      <c r="AO98" s="178"/>
      <c r="AP98" s="191">
        <f>AP87</f>
        <v>3</v>
      </c>
      <c r="AQ98" s="212">
        <f>VLOOKUP(AQ87,'Lookup Tables'!$AB$22:$AC$31,2,FALSE)</f>
        <v>0</v>
      </c>
      <c r="AR98" s="213">
        <f>VLOOKUP(BB87,'Lookup Tables'!$AB$32:$AC$41,2,FALSE)</f>
        <v>0</v>
      </c>
      <c r="AS98" s="208">
        <f>AN98-AR98</f>
        <v>0</v>
      </c>
      <c r="AT98" s="178">
        <f>IF(AS98&gt;0,1,0)</f>
        <v>0</v>
      </c>
      <c r="AU98" s="196">
        <f>((('Rate Tables'!G19*9)*0.02778)/5)*AS98*AT98*F98</f>
        <v>0</v>
      </c>
      <c r="AV98" s="197">
        <f>AW87</f>
        <v>0</v>
      </c>
      <c r="AW98" s="178"/>
      <c r="AX98" s="197">
        <f>IF(AV98&lt;0,AV98*0,1)*AV98</f>
        <v>0</v>
      </c>
      <c r="AY98" s="203">
        <f>AN98-(AS98*AT98)</f>
        <v>0</v>
      </c>
      <c r="AZ98" s="178"/>
      <c r="BA98" s="191">
        <f>BA87</f>
        <v>3</v>
      </c>
      <c r="BB98" s="212">
        <f>VLOOKUP(BB87,'Lookup Tables'!$AB$22:$AC$31,2,FALSE)</f>
        <v>0</v>
      </c>
      <c r="BC98" s="213">
        <v>0</v>
      </c>
      <c r="BD98" s="208">
        <f>AY98-BC98</f>
        <v>0</v>
      </c>
      <c r="BE98" s="178">
        <f>IF(BD98&gt;0,1,0)</f>
        <v>0</v>
      </c>
      <c r="BF98" s="196">
        <f>((('Rate Tables'!H19*9)*0.02778)/5)*BD98*BE98*F98</f>
        <v>0</v>
      </c>
      <c r="BG98" s="197">
        <f>BH87</f>
        <v>0</v>
      </c>
      <c r="BH98" s="178"/>
      <c r="BI98" s="178"/>
      <c r="BJ98" s="178"/>
      <c r="BK98" s="227"/>
      <c r="BL98" s="12"/>
      <c r="BM98" s="227"/>
      <c r="BN98" s="275"/>
      <c r="BO98" s="12"/>
    </row>
    <row r="99" spans="1:67" x14ac:dyDescent="0.25">
      <c r="A99" s="296"/>
      <c r="B99" s="116"/>
      <c r="C99" s="819" t="s">
        <v>732</v>
      </c>
      <c r="D99" s="178"/>
      <c r="E99" s="153" t="s">
        <v>84</v>
      </c>
      <c r="F99" s="153" t="s">
        <v>42</v>
      </c>
      <c r="G99" s="153" t="s">
        <v>41</v>
      </c>
      <c r="H99" s="183" t="s">
        <v>77</v>
      </c>
      <c r="I99" s="209" t="s">
        <v>105</v>
      </c>
      <c r="J99" s="210" t="s">
        <v>106</v>
      </c>
      <c r="K99" s="153" t="s">
        <v>99</v>
      </c>
      <c r="L99" s="153" t="s">
        <v>100</v>
      </c>
      <c r="M99" s="153" t="s">
        <v>82</v>
      </c>
      <c r="N99" s="153" t="s">
        <v>32</v>
      </c>
      <c r="O99" s="153" t="s">
        <v>69</v>
      </c>
      <c r="P99" s="153" t="s">
        <v>72</v>
      </c>
      <c r="Q99" s="153" t="s">
        <v>103</v>
      </c>
      <c r="R99" s="183" t="s">
        <v>77</v>
      </c>
      <c r="S99" s="209" t="s">
        <v>105</v>
      </c>
      <c r="T99" s="210" t="s">
        <v>106</v>
      </c>
      <c r="U99" s="178" t="s">
        <v>98</v>
      </c>
      <c r="V99" s="153" t="s">
        <v>100</v>
      </c>
      <c r="W99" s="153" t="s">
        <v>33</v>
      </c>
      <c r="X99" s="153" t="s">
        <v>69</v>
      </c>
      <c r="Y99" s="153"/>
      <c r="Z99" s="153"/>
      <c r="AA99" s="178"/>
      <c r="AB99" s="153" t="s">
        <v>72</v>
      </c>
      <c r="AC99" s="153" t="s">
        <v>104</v>
      </c>
      <c r="AD99" s="153"/>
      <c r="AE99" s="183" t="s">
        <v>77</v>
      </c>
      <c r="AF99" s="209" t="s">
        <v>105</v>
      </c>
      <c r="AG99" s="210" t="s">
        <v>106</v>
      </c>
      <c r="AH99" s="178" t="s">
        <v>98</v>
      </c>
      <c r="AI99" s="153" t="s">
        <v>100</v>
      </c>
      <c r="AJ99" s="153" t="s">
        <v>34</v>
      </c>
      <c r="AK99" s="153" t="s">
        <v>69</v>
      </c>
      <c r="AL99" s="178"/>
      <c r="AM99" s="153" t="s">
        <v>72</v>
      </c>
      <c r="AN99" s="153" t="s">
        <v>104</v>
      </c>
      <c r="AO99" s="153"/>
      <c r="AP99" s="183" t="s">
        <v>77</v>
      </c>
      <c r="AQ99" s="209" t="s">
        <v>105</v>
      </c>
      <c r="AR99" s="210" t="s">
        <v>106</v>
      </c>
      <c r="AS99" s="178" t="s">
        <v>98</v>
      </c>
      <c r="AT99" s="153" t="s">
        <v>100</v>
      </c>
      <c r="AU99" s="153" t="s">
        <v>34</v>
      </c>
      <c r="AV99" s="153" t="s">
        <v>69</v>
      </c>
      <c r="AW99" s="178"/>
      <c r="AX99" s="153" t="s">
        <v>72</v>
      </c>
      <c r="AY99" s="153" t="s">
        <v>104</v>
      </c>
      <c r="AZ99" s="153"/>
      <c r="BA99" s="183" t="s">
        <v>77</v>
      </c>
      <c r="BB99" s="209" t="s">
        <v>105</v>
      </c>
      <c r="BC99" s="210" t="s">
        <v>106</v>
      </c>
      <c r="BD99" s="178" t="s">
        <v>98</v>
      </c>
      <c r="BE99" s="153" t="s">
        <v>100</v>
      </c>
      <c r="BF99" s="153" t="s">
        <v>34</v>
      </c>
      <c r="BG99" s="153" t="s">
        <v>69</v>
      </c>
      <c r="BH99" s="178"/>
      <c r="BI99" s="178"/>
      <c r="BJ99" s="178"/>
      <c r="BK99" s="227"/>
      <c r="BL99" s="12"/>
      <c r="BM99" s="227"/>
      <c r="BN99" s="275"/>
      <c r="BO99" s="12"/>
    </row>
    <row r="100" spans="1:67" x14ac:dyDescent="0.25">
      <c r="A100" s="296"/>
      <c r="B100" s="116"/>
      <c r="C100" s="115"/>
      <c r="D100" s="178"/>
      <c r="E100" s="211">
        <f>E98</f>
        <v>0</v>
      </c>
      <c r="F100" s="190">
        <f>IF($D$4=2025,1,0)</f>
        <v>0</v>
      </c>
      <c r="G100" s="178">
        <f>IF($B91="Yes",$C$5,$I91)</f>
        <v>12</v>
      </c>
      <c r="H100" s="191">
        <f>H89</f>
        <v>3</v>
      </c>
      <c r="I100" s="212">
        <f>VLOOKUP(J89,'Lookup Tables'!$AB$22:$AC$31,2,FALSE)</f>
        <v>32</v>
      </c>
      <c r="J100" s="213">
        <f>VLOOKUP(U89,'Lookup Tables'!$AB$32:$AC$41,2,FALSE)</f>
        <v>33</v>
      </c>
      <c r="K100" s="203">
        <f>E100-J100</f>
        <v>-33</v>
      </c>
      <c r="L100" s="178">
        <f>IF(K100&gt;0,1,0)</f>
        <v>0</v>
      </c>
      <c r="M100" s="195">
        <f>M89</f>
        <v>0</v>
      </c>
      <c r="N100" s="196">
        <f>((((('Rate Tables'!E19*9)*0.02778)/5)*K100)*L100)*F100*M100</f>
        <v>0</v>
      </c>
      <c r="O100" s="197">
        <f>O89</f>
        <v>12</v>
      </c>
      <c r="P100" s="197">
        <f>IF(O100&lt;0,O100*0,1)*O100</f>
        <v>12</v>
      </c>
      <c r="Q100" s="203">
        <f>(E100-K100*F100*L100*M100)</f>
        <v>0</v>
      </c>
      <c r="R100" s="191">
        <f>S89</f>
        <v>3</v>
      </c>
      <c r="S100" s="212">
        <f>VLOOKUP(U89,'Lookup Tables'!$AB$22:$AC$31,2,FALSE)</f>
        <v>32</v>
      </c>
      <c r="T100" s="213">
        <f>VLOOKUP(AF89,'Lookup Tables'!$AB$32:$AC$41,2,FALSE)</f>
        <v>33</v>
      </c>
      <c r="U100" s="206">
        <f>Q100-T100</f>
        <v>-33</v>
      </c>
      <c r="V100" s="178">
        <f>IF(U100&gt;0,1,0)</f>
        <v>0</v>
      </c>
      <c r="W100" s="196">
        <f>((('Rate Tables'!F19*9)*0.02778)/5)*U100*F100*V100</f>
        <v>0</v>
      </c>
      <c r="X100" s="197">
        <f>AA89</f>
        <v>2</v>
      </c>
      <c r="Y100" s="178"/>
      <c r="Z100" s="195"/>
      <c r="AA100" s="178"/>
      <c r="AB100" s="197">
        <f>IF(X100&lt;0,X100*0,1)*X100</f>
        <v>2</v>
      </c>
      <c r="AC100" s="203">
        <f>Q100-(U100*V100)</f>
        <v>0</v>
      </c>
      <c r="AD100" s="178"/>
      <c r="AE100" s="191">
        <f>AE89</f>
        <v>1</v>
      </c>
      <c r="AF100" s="212">
        <f>VLOOKUP(AF89,'Lookup Tables'!$AB$22:$AC$31,2,FALSE)</f>
        <v>32</v>
      </c>
      <c r="AG100" s="213">
        <f>VLOOKUP(AQ89,'Lookup Tables'!$AB$32:$AC$41,2,FALSE)</f>
        <v>0</v>
      </c>
      <c r="AH100" s="208">
        <f>AC100-AG100</f>
        <v>0</v>
      </c>
      <c r="AI100" s="178">
        <f>IF(AH100&gt;0,1,0)</f>
        <v>0</v>
      </c>
      <c r="AJ100" s="196">
        <f>((('Rate Tables'!G19*9)*0.02778)/5)*AH100*AI100*F100</f>
        <v>0</v>
      </c>
      <c r="AK100" s="197">
        <f>AL89</f>
        <v>0</v>
      </c>
      <c r="AL100" s="178"/>
      <c r="AM100" s="197">
        <f>IF(AK100&lt;0,AK100*0,1)*AK100</f>
        <v>0</v>
      </c>
      <c r="AN100" s="203">
        <f>AC100-(AH100*AI100)</f>
        <v>0</v>
      </c>
      <c r="AO100" s="178"/>
      <c r="AP100" s="191">
        <f>AP89</f>
        <v>3</v>
      </c>
      <c r="AQ100" s="212">
        <f>VLOOKUP(AQ89,'Lookup Tables'!$AB$22:$AC$31,2,FALSE)</f>
        <v>0</v>
      </c>
      <c r="AR100" s="213">
        <f>VLOOKUP(BB89,'Lookup Tables'!$AB$32:$AC$41,2,FALSE)</f>
        <v>0</v>
      </c>
      <c r="AS100" s="208">
        <f>AN100-AR100</f>
        <v>0</v>
      </c>
      <c r="AT100" s="178">
        <f>IF(AS100&gt;0,1,0)</f>
        <v>0</v>
      </c>
      <c r="AU100" s="196">
        <f>((('Rate Tables'!H19*9)*0.02778)/5)*AS100*AT100*F100</f>
        <v>0</v>
      </c>
      <c r="AV100" s="197">
        <f>AW89</f>
        <v>0</v>
      </c>
      <c r="AW100" s="178"/>
      <c r="AX100" s="197">
        <f>IF(AV100&lt;0,AV100*0,1)*AV100</f>
        <v>0</v>
      </c>
      <c r="AY100" s="203">
        <f>AN100-(AS100*AT100)</f>
        <v>0</v>
      </c>
      <c r="AZ100" s="178"/>
      <c r="BA100" s="191">
        <f>BA89</f>
        <v>3</v>
      </c>
      <c r="BB100" s="212">
        <f>VLOOKUP(BB89,'Lookup Tables'!$AB$22:$AC$31,2,FALSE)</f>
        <v>0</v>
      </c>
      <c r="BC100" s="213">
        <v>0</v>
      </c>
      <c r="BD100" s="208">
        <f>AY100-BC100</f>
        <v>0</v>
      </c>
      <c r="BE100" s="178">
        <f>IF(BD100&gt;0,1,0)</f>
        <v>0</v>
      </c>
      <c r="BF100" s="196">
        <f>((('Rate Tables'!I19*9)*0.02778)/5)*BD100*BE100*F100</f>
        <v>0</v>
      </c>
      <c r="BG100" s="197">
        <f>BH89</f>
        <v>0</v>
      </c>
      <c r="BH100" s="178"/>
      <c r="BI100" s="178"/>
      <c r="BJ100" s="178"/>
      <c r="BK100" s="227"/>
      <c r="BL100" s="12"/>
      <c r="BM100" s="227"/>
      <c r="BN100" s="275"/>
      <c r="BO100" s="12"/>
    </row>
    <row r="101" spans="1:67" ht="15.75" thickBot="1" x14ac:dyDescent="0.3">
      <c r="A101" s="296"/>
      <c r="B101" s="116"/>
      <c r="C101" s="114"/>
      <c r="D101" s="178"/>
      <c r="E101" s="178"/>
      <c r="F101" s="178"/>
      <c r="G101" s="749" t="s">
        <v>559</v>
      </c>
      <c r="H101" s="206">
        <f>BK94</f>
        <v>0</v>
      </c>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307"/>
      <c r="BL101" s="12"/>
      <c r="BM101" s="227" t="s">
        <v>453</v>
      </c>
      <c r="BN101" s="275">
        <f>IF(BN96=0,0,BN95)</f>
        <v>0.2697</v>
      </c>
      <c r="BO101" s="12">
        <f>(BN92+BN102)*BO95</f>
        <v>0</v>
      </c>
    </row>
    <row r="102" spans="1:67" ht="15.75" thickBot="1" x14ac:dyDescent="0.3">
      <c r="A102" s="380">
        <f>Personnel!U28</f>
        <v>0</v>
      </c>
      <c r="B102" s="273">
        <f>Personnel!U29</f>
        <v>0</v>
      </c>
      <c r="C102" s="114"/>
      <c r="D102" s="178"/>
      <c r="E102" s="178"/>
      <c r="F102" s="178"/>
      <c r="G102" s="749" t="s">
        <v>560</v>
      </c>
      <c r="H102" s="178">
        <f>VLOOKUP(H94,'Lookup Tables'!$L$62:$Y$74,MATCH(G94,'Lookup Tables'!$L$62:$Y$62,FALSE))</f>
        <v>65</v>
      </c>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309"/>
      <c r="BL102" s="274"/>
      <c r="BM102" s="278" t="s">
        <v>415</v>
      </c>
      <c r="BN102" s="279">
        <f>BN92*BN101</f>
        <v>0</v>
      </c>
      <c r="BO102" s="373">
        <f>BN92+BN102+BO101</f>
        <v>0</v>
      </c>
    </row>
    <row r="103" spans="1:67" ht="15.75" thickBot="1" x14ac:dyDescent="0.3">
      <c r="A103" s="297"/>
      <c r="B103" s="295"/>
      <c r="C103" s="291"/>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80"/>
      <c r="BL103" s="149"/>
      <c r="BM103" s="280"/>
      <c r="BN103" s="281"/>
      <c r="BO103" s="374"/>
    </row>
    <row r="104" spans="1:67" ht="26.25" x14ac:dyDescent="0.25">
      <c r="A104" s="296" t="s">
        <v>174</v>
      </c>
      <c r="B104" s="162" t="s">
        <v>339</v>
      </c>
      <c r="C104" s="259" t="s">
        <v>605</v>
      </c>
      <c r="D104" s="178"/>
      <c r="E104" s="178"/>
      <c r="F104" s="178"/>
      <c r="G104" s="178"/>
      <c r="H104" s="178"/>
      <c r="I104" s="178"/>
      <c r="J104" s="178"/>
      <c r="K104" s="178"/>
      <c r="L104" s="178"/>
      <c r="M104" s="178"/>
      <c r="N104" s="178"/>
      <c r="O104" s="178">
        <v>21</v>
      </c>
      <c r="P104" s="178"/>
      <c r="Q104" s="178"/>
      <c r="R104" s="178"/>
      <c r="S104" s="178"/>
      <c r="T104" s="178"/>
      <c r="U104" s="178"/>
      <c r="V104" s="178"/>
      <c r="W104" s="178"/>
      <c r="X104" s="178"/>
      <c r="Y104" s="178"/>
      <c r="Z104" s="493">
        <v>44378</v>
      </c>
      <c r="AA104" s="493">
        <v>44742</v>
      </c>
      <c r="AB104" s="178"/>
      <c r="AC104" s="178"/>
      <c r="AD104" s="178"/>
      <c r="AE104" s="178"/>
      <c r="AF104" s="178"/>
      <c r="AG104" s="178"/>
      <c r="AH104" s="178"/>
      <c r="AI104" s="178"/>
      <c r="AJ104" s="178"/>
      <c r="AK104" s="178"/>
      <c r="AL104" s="178">
        <v>23</v>
      </c>
      <c r="AM104" s="178"/>
      <c r="AN104" s="178"/>
      <c r="AO104" s="178"/>
      <c r="AP104" s="178"/>
      <c r="AQ104" s="178"/>
      <c r="AR104" s="178"/>
      <c r="AS104" s="178"/>
      <c r="AT104" s="178"/>
      <c r="AU104" s="178"/>
      <c r="AV104" s="178"/>
      <c r="AW104" s="178">
        <v>23</v>
      </c>
      <c r="AX104" s="178"/>
      <c r="AY104" s="178"/>
      <c r="AZ104" s="178"/>
      <c r="BA104" s="178"/>
      <c r="BB104" s="178"/>
      <c r="BC104" s="178"/>
      <c r="BD104" s="178"/>
      <c r="BE104" s="178"/>
      <c r="BF104" s="178"/>
      <c r="BG104" s="178"/>
      <c r="BH104" s="178"/>
      <c r="BI104" s="178"/>
      <c r="BJ104" s="178"/>
      <c r="BK104" s="227"/>
      <c r="BL104" s="12"/>
      <c r="BM104" s="227"/>
      <c r="BN104" s="275"/>
      <c r="BO104" s="12"/>
    </row>
    <row r="105" spans="1:67" x14ac:dyDescent="0.25">
      <c r="A105" s="345">
        <f>Personnel!C34</f>
        <v>0</v>
      </c>
      <c r="B105" s="346" t="str">
        <f>Personnel!C33</f>
        <v>Faculty</v>
      </c>
      <c r="C105" s="347">
        <f>Personnel!C35</f>
        <v>0</v>
      </c>
      <c r="D105" s="178"/>
      <c r="E105" s="178"/>
      <c r="F105" s="178"/>
      <c r="G105" s="178"/>
      <c r="H105" s="178"/>
      <c r="I105" s="178"/>
      <c r="J105" s="178"/>
      <c r="K105" s="178"/>
      <c r="L105" s="178"/>
      <c r="M105" s="178"/>
      <c r="N105" s="178"/>
      <c r="O105" s="178">
        <v>22</v>
      </c>
      <c r="P105" s="178"/>
      <c r="Q105" s="178"/>
      <c r="R105" s="178"/>
      <c r="S105" s="178"/>
      <c r="T105" s="178"/>
      <c r="U105" s="178"/>
      <c r="V105" s="178"/>
      <c r="W105" s="178"/>
      <c r="X105" s="178"/>
      <c r="Y105" s="178"/>
      <c r="Z105" s="178"/>
      <c r="AA105" s="178">
        <v>23</v>
      </c>
      <c r="AB105" s="178"/>
      <c r="AC105" s="178"/>
      <c r="AD105" s="178"/>
      <c r="AE105" s="178"/>
      <c r="AF105" s="178"/>
      <c r="AG105" s="178"/>
      <c r="AH105" s="178"/>
      <c r="AI105" s="178"/>
      <c r="AJ105" s="178"/>
      <c r="AK105" s="178"/>
      <c r="AL105" s="178">
        <v>24</v>
      </c>
      <c r="AM105" s="178"/>
      <c r="AN105" s="178"/>
      <c r="AO105" s="178"/>
      <c r="AP105" s="178"/>
      <c r="AQ105" s="178"/>
      <c r="AR105" s="178"/>
      <c r="AS105" s="178"/>
      <c r="AT105" s="178"/>
      <c r="AU105" s="178"/>
      <c r="AV105" s="178"/>
      <c r="AW105" s="178">
        <v>24</v>
      </c>
      <c r="AX105" s="178"/>
      <c r="AY105" s="178"/>
      <c r="AZ105" s="178"/>
      <c r="BA105" s="178"/>
      <c r="BB105" s="178"/>
      <c r="BC105" s="178"/>
      <c r="BD105" s="178"/>
      <c r="BE105" s="178"/>
      <c r="BF105" s="178"/>
      <c r="BG105" s="178"/>
      <c r="BH105" s="178"/>
      <c r="BI105" s="178"/>
      <c r="BJ105" s="178"/>
      <c r="BK105" s="306" t="s">
        <v>412</v>
      </c>
      <c r="BL105" s="348">
        <f>Personnel!W33</f>
        <v>0</v>
      </c>
      <c r="BM105" s="276" t="s">
        <v>414</v>
      </c>
      <c r="BN105" s="277">
        <f>(N107+N109+N111+Z107+N113+Z109+Z111+Z113+AK107+AK109+AK111+AK113+AV107+AV109+AV111+AV113+BG107+BG109+BG111+BG113)*BL114</f>
        <v>0</v>
      </c>
      <c r="BO105" s="224"/>
    </row>
    <row r="106" spans="1:67" x14ac:dyDescent="0.25">
      <c r="A106" s="296"/>
      <c r="B106" s="116"/>
      <c r="C106" s="117" t="s">
        <v>30</v>
      </c>
      <c r="D106" s="178"/>
      <c r="E106" s="153" t="s">
        <v>16</v>
      </c>
      <c r="F106" s="153" t="s">
        <v>42</v>
      </c>
      <c r="G106" s="153" t="s">
        <v>41</v>
      </c>
      <c r="H106" s="183" t="s">
        <v>77</v>
      </c>
      <c r="I106" s="184" t="s">
        <v>90</v>
      </c>
      <c r="J106" s="185" t="s">
        <v>70</v>
      </c>
      <c r="K106" s="186" t="s">
        <v>93</v>
      </c>
      <c r="L106" s="153" t="s">
        <v>35</v>
      </c>
      <c r="M106" s="153" t="s">
        <v>82</v>
      </c>
      <c r="N106" s="153" t="s">
        <v>31</v>
      </c>
      <c r="O106" s="135" t="s">
        <v>69</v>
      </c>
      <c r="P106" s="153" t="s">
        <v>72</v>
      </c>
      <c r="Q106" s="183" t="s">
        <v>80</v>
      </c>
      <c r="R106" s="187" t="s">
        <v>81</v>
      </c>
      <c r="S106" s="183" t="s">
        <v>77</v>
      </c>
      <c r="T106" s="598" t="s">
        <v>83</v>
      </c>
      <c r="U106" s="185" t="s">
        <v>70</v>
      </c>
      <c r="V106" s="153" t="s">
        <v>91</v>
      </c>
      <c r="W106" s="153" t="s">
        <v>43</v>
      </c>
      <c r="X106" s="153" t="s">
        <v>53</v>
      </c>
      <c r="Y106" s="153" t="s">
        <v>68</v>
      </c>
      <c r="Z106" s="153" t="s">
        <v>32</v>
      </c>
      <c r="AA106" s="135" t="s">
        <v>69</v>
      </c>
      <c r="AB106" s="153" t="s">
        <v>72</v>
      </c>
      <c r="AC106" s="153" t="s">
        <v>80</v>
      </c>
      <c r="AD106" s="187" t="s">
        <v>81</v>
      </c>
      <c r="AE106" s="183" t="s">
        <v>77</v>
      </c>
      <c r="AF106" s="185" t="s">
        <v>70</v>
      </c>
      <c r="AG106" s="153" t="s">
        <v>92</v>
      </c>
      <c r="AH106" s="153" t="s">
        <v>44</v>
      </c>
      <c r="AI106" s="153" t="s">
        <v>78</v>
      </c>
      <c r="AJ106" s="153" t="s">
        <v>68</v>
      </c>
      <c r="AK106" s="153" t="s">
        <v>33</v>
      </c>
      <c r="AL106" s="135" t="s">
        <v>69</v>
      </c>
      <c r="AM106" s="153" t="s">
        <v>72</v>
      </c>
      <c r="AN106" s="153" t="s">
        <v>80</v>
      </c>
      <c r="AO106" s="187" t="s">
        <v>81</v>
      </c>
      <c r="AP106" s="183" t="s">
        <v>77</v>
      </c>
      <c r="AQ106" s="185" t="s">
        <v>70</v>
      </c>
      <c r="AR106" s="153" t="s">
        <v>92</v>
      </c>
      <c r="AS106" s="153" t="s">
        <v>44</v>
      </c>
      <c r="AT106" s="153" t="s">
        <v>78</v>
      </c>
      <c r="AU106" s="153" t="s">
        <v>68</v>
      </c>
      <c r="AV106" s="153" t="s">
        <v>33</v>
      </c>
      <c r="AW106" s="135" t="s">
        <v>69</v>
      </c>
      <c r="AX106" s="153" t="s">
        <v>72</v>
      </c>
      <c r="AY106" s="153" t="s">
        <v>80</v>
      </c>
      <c r="AZ106" s="187" t="s">
        <v>81</v>
      </c>
      <c r="BA106" s="183" t="s">
        <v>77</v>
      </c>
      <c r="BB106" s="185" t="s">
        <v>70</v>
      </c>
      <c r="BC106" s="153" t="s">
        <v>92</v>
      </c>
      <c r="BD106" s="153" t="s">
        <v>44</v>
      </c>
      <c r="BE106" s="153" t="s">
        <v>78</v>
      </c>
      <c r="BF106" s="153" t="s">
        <v>68</v>
      </c>
      <c r="BG106" s="153" t="s">
        <v>33</v>
      </c>
      <c r="BH106" s="135" t="s">
        <v>69</v>
      </c>
      <c r="BI106" s="153"/>
      <c r="BJ106" s="178"/>
      <c r="BK106" s="227"/>
      <c r="BL106" s="349"/>
      <c r="BM106" s="227"/>
      <c r="BN106" s="275"/>
      <c r="BO106" s="12"/>
    </row>
    <row r="107" spans="1:67" x14ac:dyDescent="0.25">
      <c r="A107" s="296"/>
      <c r="B107" s="116"/>
      <c r="C107" s="115"/>
      <c r="D107" s="178"/>
      <c r="E107" s="189">
        <f>BL$105</f>
        <v>0</v>
      </c>
      <c r="F107" s="190">
        <f>IF($D$4=2022,1,0)</f>
        <v>0</v>
      </c>
      <c r="G107" s="178">
        <f>IF($B115="Yes",$C$5,$I115)</f>
        <v>12</v>
      </c>
      <c r="H107" s="191">
        <f>VLOOKUP(H114,'Lookup Tables'!$A$22:$B$33,2,FALSE)</f>
        <v>3</v>
      </c>
      <c r="I107" s="192">
        <f>VLOOKUP($E$4,'Lookup Tables'!$AB$46:$AN$58,MATCH($H107,'Lookup Tables'!$AB$46:$AN$46),FALSE)</f>
        <v>12</v>
      </c>
      <c r="J107" s="193">
        <f>VLOOKUP(H107,'Lookup Tables'!$A$3:$AA$16,MATCH(PersonCalcYr3!$G$107,'Lookup Tables'!$A$3:$AA$3),FALSE)</f>
        <v>1.5161</v>
      </c>
      <c r="K107" s="194">
        <f>VLOOKUP($H114,'Lookup Tables'!$K$23:$L$34,2,FALSE)</f>
        <v>0</v>
      </c>
      <c r="L107" s="178">
        <f>IF(G107&lt;=K107,G107,K107)</f>
        <v>0</v>
      </c>
      <c r="M107" s="195">
        <f>IF(12-I107&gt;=1,1,0)</f>
        <v>0</v>
      </c>
      <c r="N107" s="196">
        <f>(('Rate Tables'!B24*PersonCalcYr3!E107)*PersonCalcYr3!L107)*PersonCalcYr3!F107*M107</f>
        <v>0</v>
      </c>
      <c r="O107" s="197">
        <f>G107-((J107+L107)*M107)</f>
        <v>12</v>
      </c>
      <c r="P107" s="197">
        <f>IF(O107&lt;0,O107*0,1)*O107</f>
        <v>12</v>
      </c>
      <c r="Q107" s="198">
        <f>H107+(L107*M107)+(J107*M107)</f>
        <v>3</v>
      </c>
      <c r="R107" s="199" t="str">
        <f>VLOOKUP(Q107,'Lookup Tables'!$A$38:$B$151,2,FALSE)</f>
        <v>Sept</v>
      </c>
      <c r="S107" s="191">
        <f>VLOOKUP(R107,'Lookup Tables'!$A$22:$B$33,2,FALSE)</f>
        <v>3</v>
      </c>
      <c r="T107" s="599">
        <f>VLOOKUP($E$4,'Lookup Tables'!$AB$63:$AN$75,MATCH(PersonCalcYr3!$S107,'Lookup Tables'!$AB$63:$AN$63),FALSE)</f>
        <v>0.5161</v>
      </c>
      <c r="U107" s="200">
        <f>VLOOKUP(S107,'Lookup Tables'!$A$3:$AA$16,MATCH(PersonCalcYr3!$P$107,'Lookup Tables'!$A$3:$AA$3),FALSE)</f>
        <v>1.5161</v>
      </c>
      <c r="V107" s="496">
        <f>9-T107</f>
        <v>8.4839000000000002</v>
      </c>
      <c r="W107" s="201">
        <f>P107-U107</f>
        <v>10.4839</v>
      </c>
      <c r="X107" s="195">
        <f>IF(V107&lt;=W107,V107,W107)</f>
        <v>8.4839000000000002</v>
      </c>
      <c r="Y107" s="195">
        <f>IF(12-T107-U107-X107&gt;=0,1,0)</f>
        <v>1</v>
      </c>
      <c r="Z107" s="202">
        <f>((('Rate Tables'!C24*$E107)*PersonCalcYr3!$X107)*$F107)*Y107</f>
        <v>0</v>
      </c>
      <c r="AA107" s="197">
        <f>O107-(((U107*U115)+X107)*Y107)</f>
        <v>2</v>
      </c>
      <c r="AB107" s="197">
        <f>IF(AA107&lt;0,AA107*0,1)*AA107</f>
        <v>2</v>
      </c>
      <c r="AC107" s="601">
        <f>S107+(X107*Y107)+((U107*U115)*Y107)</f>
        <v>13</v>
      </c>
      <c r="AD107" s="199" t="str">
        <f>VLOOKUP(AC107,'Lookup Tables'!$A$38:$B$151,2,FALSE)</f>
        <v>July</v>
      </c>
      <c r="AE107" s="191">
        <f>VLOOKUP(AD107,'Lookup Tables'!$A$22:$B$33,2,FALSE)</f>
        <v>1</v>
      </c>
      <c r="AF107" s="200">
        <f>VLOOKUP(AE107,'Lookup Tables'!$A$3:$AA$16,MATCH(PersonCalcYr3!AB$107,'Lookup Tables'!$A$3:$AA$3),FALSE)</f>
        <v>1.4839</v>
      </c>
      <c r="AG107" s="178">
        <v>9</v>
      </c>
      <c r="AH107" s="201">
        <f>AB107-AF107</f>
        <v>0.5161</v>
      </c>
      <c r="AI107" s="195">
        <f>IF(AG107&lt;=AH107,AG107,AH107)</f>
        <v>0.5161</v>
      </c>
      <c r="AJ107" s="195">
        <f>IF((AG107+AF107)&lt;=0,0,1)</f>
        <v>1</v>
      </c>
      <c r="AK107" s="204">
        <f>((('Rate Tables'!D24*$E107)*PersonCalcYr3!AI107)*$F107)*AJ107</f>
        <v>0</v>
      </c>
      <c r="AL107" s="215">
        <f>AB107-AF107-AI107</f>
        <v>0</v>
      </c>
      <c r="AM107" s="197">
        <f>IF(AL107&lt;0,AL107*0,1)*AL107</f>
        <v>0</v>
      </c>
      <c r="AN107" s="601">
        <f>AE107+(AI107*AJ107)+((AF107*AF115)*AJ107)</f>
        <v>3</v>
      </c>
      <c r="AO107" s="199" t="str">
        <f>VLOOKUP(AN107,'Lookup Tables'!$A$38:$B$151,2,FALSE)</f>
        <v>Sept</v>
      </c>
      <c r="AP107" s="191">
        <f>VLOOKUP(AO107,'Lookup Tables'!$A$22:$B$33,2,FALSE)</f>
        <v>3</v>
      </c>
      <c r="AQ107" s="200">
        <f>VLOOKUP(AP107,'Lookup Tables'!$A$3:$AA$16,MATCH(PersonCalcYr3!AM$107,'Lookup Tables'!$A$3:$AA$3),FALSE)</f>
        <v>0</v>
      </c>
      <c r="AR107" s="178">
        <v>9</v>
      </c>
      <c r="AS107" s="201">
        <f>AM107-AQ107</f>
        <v>0</v>
      </c>
      <c r="AT107" s="195">
        <f>IF(AR107&lt;=AS107,AR107,AS107)</f>
        <v>0</v>
      </c>
      <c r="AU107" s="195">
        <f>IF((AR107+AQ107)&lt;=0,0,1)</f>
        <v>1</v>
      </c>
      <c r="AV107" s="204">
        <f>((('Rate Tables'!E24*$E107)*PersonCalcYr3!AT107)*$F107)*AU107</f>
        <v>0</v>
      </c>
      <c r="AW107" s="215">
        <f>AM107-AQ107-AT107</f>
        <v>0</v>
      </c>
      <c r="AX107" s="197">
        <f>IF(AW107&lt;0,AW107*0,1)*AW107</f>
        <v>0</v>
      </c>
      <c r="AY107" s="601">
        <f>AP107+(AT107*AU107)+((AQ107*AQ115)*AU107)</f>
        <v>3</v>
      </c>
      <c r="AZ107" s="199" t="str">
        <f>VLOOKUP(AY107,'Lookup Tables'!$A$38:$B$151,2,FALSE)</f>
        <v>Sept</v>
      </c>
      <c r="BA107" s="191">
        <f>VLOOKUP(AZ107,'Lookup Tables'!$A$22:$B$33,2,FALSE)</f>
        <v>3</v>
      </c>
      <c r="BB107" s="200">
        <f>VLOOKUP(BA107,'Lookup Tables'!$A$3:$AA$16,MATCH(PersonCalcYr3!AX$107,'Lookup Tables'!$A$3:$AA$3),FALSE)</f>
        <v>0</v>
      </c>
      <c r="BC107" s="178">
        <v>9</v>
      </c>
      <c r="BD107" s="201">
        <f>AX107-BB107</f>
        <v>0</v>
      </c>
      <c r="BE107" s="195">
        <f>IF(BC107&lt;=BD107,BC107,BD107)</f>
        <v>0</v>
      </c>
      <c r="BF107" s="195">
        <f>IF((BC107+BB107)&lt;=0,0,1)</f>
        <v>1</v>
      </c>
      <c r="BG107" s="204">
        <f>((('Rate Tables'!F24*$E107)*PersonCalcYr3!BE107)*$F107)*BF107</f>
        <v>0</v>
      </c>
      <c r="BH107" s="215">
        <f>AX107-BB107-BE107</f>
        <v>0</v>
      </c>
      <c r="BI107" s="197"/>
      <c r="BJ107" s="178"/>
      <c r="BK107" s="227"/>
      <c r="BL107" s="350"/>
      <c r="BM107" s="227"/>
      <c r="BN107" s="275"/>
      <c r="BO107" s="12"/>
    </row>
    <row r="108" spans="1:67" x14ac:dyDescent="0.25">
      <c r="A108" s="296"/>
      <c r="B108" s="116"/>
      <c r="C108" s="117" t="s">
        <v>597</v>
      </c>
      <c r="D108" s="178"/>
      <c r="E108" s="153" t="s">
        <v>16</v>
      </c>
      <c r="F108" s="153" t="s">
        <v>42</v>
      </c>
      <c r="G108" s="153" t="s">
        <v>41</v>
      </c>
      <c r="H108" s="183" t="s">
        <v>77</v>
      </c>
      <c r="I108" s="184" t="s">
        <v>90</v>
      </c>
      <c r="J108" s="185" t="s">
        <v>70</v>
      </c>
      <c r="K108" s="186" t="s">
        <v>109</v>
      </c>
      <c r="L108" s="153" t="s">
        <v>53</v>
      </c>
      <c r="M108" s="153" t="s">
        <v>82</v>
      </c>
      <c r="N108" s="153" t="s">
        <v>32</v>
      </c>
      <c r="O108" s="135" t="s">
        <v>69</v>
      </c>
      <c r="P108" s="153" t="s">
        <v>72</v>
      </c>
      <c r="Q108" s="183" t="s">
        <v>80</v>
      </c>
      <c r="R108" s="187" t="s">
        <v>81</v>
      </c>
      <c r="S108" s="183" t="s">
        <v>77</v>
      </c>
      <c r="T108" s="598" t="s">
        <v>83</v>
      </c>
      <c r="U108" s="185" t="s">
        <v>70</v>
      </c>
      <c r="V108" s="153" t="s">
        <v>92</v>
      </c>
      <c r="W108" s="153" t="s">
        <v>44</v>
      </c>
      <c r="X108" s="153" t="s">
        <v>78</v>
      </c>
      <c r="Y108" s="153" t="s">
        <v>68</v>
      </c>
      <c r="Z108" s="153" t="s">
        <v>33</v>
      </c>
      <c r="AA108" s="135" t="s">
        <v>69</v>
      </c>
      <c r="AB108" s="153" t="s">
        <v>72</v>
      </c>
      <c r="AC108" s="153" t="s">
        <v>80</v>
      </c>
      <c r="AD108" s="187" t="s">
        <v>81</v>
      </c>
      <c r="AE108" s="183" t="s">
        <v>77</v>
      </c>
      <c r="AF108" s="185" t="s">
        <v>70</v>
      </c>
      <c r="AG108" s="153" t="s">
        <v>94</v>
      </c>
      <c r="AH108" s="153" t="s">
        <v>45</v>
      </c>
      <c r="AI108" s="153" t="s">
        <v>79</v>
      </c>
      <c r="AJ108" s="153" t="s">
        <v>68</v>
      </c>
      <c r="AK108" s="153" t="s">
        <v>34</v>
      </c>
      <c r="AL108" s="135" t="s">
        <v>69</v>
      </c>
      <c r="AM108" s="153" t="s">
        <v>72</v>
      </c>
      <c r="AN108" s="153" t="s">
        <v>80</v>
      </c>
      <c r="AO108" s="187" t="s">
        <v>81</v>
      </c>
      <c r="AP108" s="183" t="s">
        <v>77</v>
      </c>
      <c r="AQ108" s="185" t="s">
        <v>70</v>
      </c>
      <c r="AR108" s="153" t="s">
        <v>94</v>
      </c>
      <c r="AS108" s="153" t="s">
        <v>45</v>
      </c>
      <c r="AT108" s="153" t="s">
        <v>79</v>
      </c>
      <c r="AU108" s="153" t="s">
        <v>68</v>
      </c>
      <c r="AV108" s="153" t="s">
        <v>34</v>
      </c>
      <c r="AW108" s="135" t="s">
        <v>69</v>
      </c>
      <c r="AX108" s="153" t="s">
        <v>72</v>
      </c>
      <c r="AY108" s="153" t="s">
        <v>80</v>
      </c>
      <c r="AZ108" s="187" t="s">
        <v>81</v>
      </c>
      <c r="BA108" s="183" t="s">
        <v>77</v>
      </c>
      <c r="BB108" s="185" t="s">
        <v>70</v>
      </c>
      <c r="BC108" s="153" t="s">
        <v>94</v>
      </c>
      <c r="BD108" s="153" t="s">
        <v>45</v>
      </c>
      <c r="BE108" s="153" t="s">
        <v>79</v>
      </c>
      <c r="BF108" s="153" t="s">
        <v>68</v>
      </c>
      <c r="BG108" s="153" t="s">
        <v>34</v>
      </c>
      <c r="BH108" s="135" t="s">
        <v>69</v>
      </c>
      <c r="BI108" s="153"/>
      <c r="BJ108" s="178"/>
      <c r="BK108" s="227"/>
      <c r="BL108" s="351"/>
      <c r="BM108" s="227"/>
      <c r="BN108" s="275"/>
      <c r="BO108" s="12"/>
    </row>
    <row r="109" spans="1:67" x14ac:dyDescent="0.25">
      <c r="A109" s="296"/>
      <c r="B109" s="116"/>
      <c r="C109" s="115"/>
      <c r="D109" s="178"/>
      <c r="E109" s="189">
        <f>BL$105</f>
        <v>0</v>
      </c>
      <c r="F109" s="190">
        <f>IF($D$4=2023,1,0)</f>
        <v>0</v>
      </c>
      <c r="G109" s="178">
        <f>IF($B115="Yes",$C$5,$I115)</f>
        <v>12</v>
      </c>
      <c r="H109" s="191">
        <f>VLOOKUP(H114,'Lookup Tables'!$A$22:$B$33,2,FALSE)</f>
        <v>3</v>
      </c>
      <c r="I109" s="192">
        <f>VLOOKUP($E$4,'Lookup Tables'!$AB$46:$AN$58,MATCH($H109,'Lookup Tables'!$AB$46:$AN$46),FALSE)</f>
        <v>12</v>
      </c>
      <c r="J109" s="193">
        <f>VLOOKUP(H109,'Lookup Tables'!$A$3:$AA$16,MATCH(PersonCalcYr3!$G109,'Lookup Tables'!$A$3:$AA$3),FALSE)</f>
        <v>1.5161</v>
      </c>
      <c r="K109" s="194">
        <f>VLOOKUP(H114,'Lookup Tables'!$K$23:$L$34,2,FALSE)</f>
        <v>0</v>
      </c>
      <c r="L109" s="178">
        <f>IF(G109&lt;=K109,G109,K109)</f>
        <v>0</v>
      </c>
      <c r="M109" s="195">
        <f>IF(12-I109&gt;=1,1,0)</f>
        <v>0</v>
      </c>
      <c r="N109" s="196">
        <f>(('Rate Tables'!C24*PersonCalcYr3!E109)*PersonCalcYr3!L109)*PersonCalcYr3!F109*M109</f>
        <v>0</v>
      </c>
      <c r="O109" s="197">
        <f>G109-((J109+L109)*M109)</f>
        <v>12</v>
      </c>
      <c r="P109" s="197">
        <f>IF(O109&lt;0,O109*0,1)*O109</f>
        <v>12</v>
      </c>
      <c r="Q109" s="198">
        <f>H109+(L109*M109)+(J109*M109)</f>
        <v>3</v>
      </c>
      <c r="R109" s="199" t="str">
        <f>VLOOKUP(Q109,'Lookup Tables'!$A$38:$B$151,2,FALSE)</f>
        <v>Sept</v>
      </c>
      <c r="S109" s="191">
        <f>VLOOKUP(R109,'Lookup Tables'!$A$22:$B$33,2,FALSE)</f>
        <v>3</v>
      </c>
      <c r="T109" s="599">
        <f>VLOOKUP($E$4,'Lookup Tables'!$AB$63:$AN$75,MATCH(PersonCalcYr3!$S109,'Lookup Tables'!$AB$63:$AN$63),FALSE)</f>
        <v>0.5161</v>
      </c>
      <c r="U109" s="200">
        <f>VLOOKUP(S109,'Lookup Tables'!$A$3:$AA$16,MATCH(PersonCalcYr3!$P109,'Lookup Tables'!$A$3:$AA$3),FALSE)</f>
        <v>1.5161</v>
      </c>
      <c r="V109" s="496">
        <f>9-T109</f>
        <v>8.4839000000000002</v>
      </c>
      <c r="W109" s="201">
        <f>P109-U109</f>
        <v>10.4839</v>
      </c>
      <c r="X109" s="195">
        <f>IF(V109&lt;=W109,V109,W109)</f>
        <v>8.4839000000000002</v>
      </c>
      <c r="Y109" s="195">
        <f>IF(12-T109-U109-X109&gt;=0,1,0)</f>
        <v>1</v>
      </c>
      <c r="Z109" s="202">
        <f>((('Rate Tables'!D24*$E109)*PersonCalcYr3!$X109)*$F109)*Y109</f>
        <v>0</v>
      </c>
      <c r="AA109" s="197">
        <f>O109-(((U109*U115)+X109)*Y109)</f>
        <v>2</v>
      </c>
      <c r="AB109" s="197">
        <f>IF(AA109&lt;0,AA109*0,1)*AA109</f>
        <v>2</v>
      </c>
      <c r="AC109" s="601">
        <f>S109+(X109*Y109)+((U109*U115)*Y109)</f>
        <v>13</v>
      </c>
      <c r="AD109" s="199" t="str">
        <f>VLOOKUP(AC109,'Lookup Tables'!$A$38:$B$151,2,FALSE)</f>
        <v>July</v>
      </c>
      <c r="AE109" s="191">
        <f>VLOOKUP(AD109,'Lookup Tables'!$A$22:$B$33,2,FALSE)</f>
        <v>1</v>
      </c>
      <c r="AF109" s="200">
        <f>VLOOKUP(AE109,'Lookup Tables'!$A$3:$AA$16,MATCH(PersonCalcYr3!AB109,'Lookup Tables'!$A$3:$AA$3),FALSE)</f>
        <v>1.4839</v>
      </c>
      <c r="AG109" s="178">
        <v>9</v>
      </c>
      <c r="AH109" s="201">
        <f>AB109-AF109</f>
        <v>0.5161</v>
      </c>
      <c r="AI109" s="195">
        <f>IF(AG109&lt;=AH109,AG109,AH109)</f>
        <v>0.5161</v>
      </c>
      <c r="AJ109" s="195">
        <f>IF((AG109+AF109)&lt;=0,0,1)</f>
        <v>1</v>
      </c>
      <c r="AK109" s="204">
        <f>((('Rate Tables'!E24*$E109)*PersonCalcYr3!AI109)*$F109)*AJ109</f>
        <v>0</v>
      </c>
      <c r="AL109" s="215">
        <f>AB109-AF109-AI109</f>
        <v>0</v>
      </c>
      <c r="AM109" s="197">
        <f>IF(AL109&lt;0,AL109*0,1)*AL109</f>
        <v>0</v>
      </c>
      <c r="AN109" s="601">
        <f>AE109+(AI109*AJ109)+((AF109*AF115)*AJ109)</f>
        <v>3</v>
      </c>
      <c r="AO109" s="199" t="str">
        <f>VLOOKUP(AN109,'Lookup Tables'!$A$38:$B$151,2,FALSE)</f>
        <v>Sept</v>
      </c>
      <c r="AP109" s="191">
        <f>VLOOKUP(AO109,'Lookup Tables'!$A$22:$B$33,2,FALSE)</f>
        <v>3</v>
      </c>
      <c r="AQ109" s="200">
        <f>VLOOKUP(AP109,'Lookup Tables'!$A$3:$AA$16,MATCH(PersonCalcYr3!AM109,'Lookup Tables'!$A$3:$AA$3),FALSE)</f>
        <v>0</v>
      </c>
      <c r="AR109" s="178">
        <v>9</v>
      </c>
      <c r="AS109" s="201">
        <f>AM109-AQ109</f>
        <v>0</v>
      </c>
      <c r="AT109" s="195">
        <f>IF(AR109&lt;=AS109,AR109,AS109)</f>
        <v>0</v>
      </c>
      <c r="AU109" s="195">
        <f>IF((AR109+AQ109)&lt;=0,0,1)</f>
        <v>1</v>
      </c>
      <c r="AV109" s="204">
        <f>((('Rate Tables'!F24*$E109)*PersonCalcYr3!AT109)*$F109)*AU109</f>
        <v>0</v>
      </c>
      <c r="AW109" s="215">
        <f>AM109-AQ109-AT109</f>
        <v>0</v>
      </c>
      <c r="AX109" s="197">
        <f>IF(AW109&lt;0,AW109*0,1)*AW109</f>
        <v>0</v>
      </c>
      <c r="AY109" s="601">
        <f>AP109+(AT109*AU109)+((AQ109*AQ115)*AU109)</f>
        <v>3</v>
      </c>
      <c r="AZ109" s="199" t="str">
        <f>VLOOKUP(AY109,'Lookup Tables'!$A$38:$B$151,2,FALSE)</f>
        <v>Sept</v>
      </c>
      <c r="BA109" s="191">
        <f>VLOOKUP(AZ109,'Lookup Tables'!$A$22:$B$33,2,FALSE)</f>
        <v>3</v>
      </c>
      <c r="BB109" s="200">
        <f>VLOOKUP(BA109,'Lookup Tables'!$A$3:$AA$16,MATCH(PersonCalcYr3!AX109,'Lookup Tables'!$A$3:$AA$3),FALSE)</f>
        <v>0</v>
      </c>
      <c r="BC109" s="178">
        <v>9</v>
      </c>
      <c r="BD109" s="201">
        <f>AX109-BB109</f>
        <v>0</v>
      </c>
      <c r="BE109" s="195">
        <f>IF(BC109&lt;=BD109,BC109,BD109)</f>
        <v>0</v>
      </c>
      <c r="BF109" s="195">
        <f>IF((BC109+BB109)&lt;=0,0,1)</f>
        <v>1</v>
      </c>
      <c r="BG109" s="204">
        <f>((('Rate Tables'!G24*$E109)*PersonCalcYr3!BE109)*$F109)*BF109</f>
        <v>0</v>
      </c>
      <c r="BH109" s="215">
        <f>AX109-BB109-BE109</f>
        <v>0</v>
      </c>
      <c r="BI109" s="197"/>
      <c r="BJ109" s="178"/>
      <c r="BK109" s="227"/>
      <c r="BL109" s="349"/>
      <c r="BM109" s="227"/>
      <c r="BN109" s="275"/>
      <c r="BO109" s="12"/>
    </row>
    <row r="110" spans="1:67" x14ac:dyDescent="0.25">
      <c r="A110" s="296"/>
      <c r="B110" s="116"/>
      <c r="C110" s="117" t="s">
        <v>664</v>
      </c>
      <c r="D110" s="178"/>
      <c r="E110" s="153" t="s">
        <v>16</v>
      </c>
      <c r="F110" s="153" t="s">
        <v>42</v>
      </c>
      <c r="G110" s="153" t="s">
        <v>41</v>
      </c>
      <c r="H110" s="183" t="s">
        <v>77</v>
      </c>
      <c r="I110" s="184" t="s">
        <v>90</v>
      </c>
      <c r="J110" s="185" t="s">
        <v>70</v>
      </c>
      <c r="K110" s="186" t="s">
        <v>109</v>
      </c>
      <c r="L110" s="153" t="s">
        <v>53</v>
      </c>
      <c r="M110" s="153" t="s">
        <v>82</v>
      </c>
      <c r="N110" s="153" t="s">
        <v>32</v>
      </c>
      <c r="O110" s="135" t="s">
        <v>69</v>
      </c>
      <c r="P110" s="153" t="s">
        <v>72</v>
      </c>
      <c r="Q110" s="183" t="s">
        <v>80</v>
      </c>
      <c r="R110" s="187" t="s">
        <v>81</v>
      </c>
      <c r="S110" s="183" t="s">
        <v>77</v>
      </c>
      <c r="T110" s="598" t="s">
        <v>83</v>
      </c>
      <c r="U110" s="185" t="s">
        <v>70</v>
      </c>
      <c r="V110" s="153" t="s">
        <v>92</v>
      </c>
      <c r="W110" s="153" t="s">
        <v>44</v>
      </c>
      <c r="X110" s="153" t="s">
        <v>78</v>
      </c>
      <c r="Y110" s="153" t="s">
        <v>68</v>
      </c>
      <c r="Z110" s="153" t="s">
        <v>33</v>
      </c>
      <c r="AA110" s="135" t="s">
        <v>69</v>
      </c>
      <c r="AB110" s="153" t="s">
        <v>72</v>
      </c>
      <c r="AC110" s="153" t="s">
        <v>80</v>
      </c>
      <c r="AD110" s="187" t="s">
        <v>81</v>
      </c>
      <c r="AE110" s="183" t="s">
        <v>77</v>
      </c>
      <c r="AF110" s="185" t="s">
        <v>70</v>
      </c>
      <c r="AG110" s="153" t="s">
        <v>94</v>
      </c>
      <c r="AH110" s="153" t="s">
        <v>45</v>
      </c>
      <c r="AI110" s="153" t="s">
        <v>79</v>
      </c>
      <c r="AJ110" s="153" t="s">
        <v>68</v>
      </c>
      <c r="AK110" s="153" t="s">
        <v>34</v>
      </c>
      <c r="AL110" s="135" t="s">
        <v>69</v>
      </c>
      <c r="AM110" s="153" t="s">
        <v>72</v>
      </c>
      <c r="AN110" s="153" t="s">
        <v>80</v>
      </c>
      <c r="AO110" s="187" t="s">
        <v>81</v>
      </c>
      <c r="AP110" s="183" t="s">
        <v>77</v>
      </c>
      <c r="AQ110" s="185" t="s">
        <v>70</v>
      </c>
      <c r="AR110" s="153" t="s">
        <v>94</v>
      </c>
      <c r="AS110" s="153" t="s">
        <v>45</v>
      </c>
      <c r="AT110" s="153" t="s">
        <v>79</v>
      </c>
      <c r="AU110" s="153" t="s">
        <v>68</v>
      </c>
      <c r="AV110" s="153" t="s">
        <v>34</v>
      </c>
      <c r="AW110" s="135" t="s">
        <v>69</v>
      </c>
      <c r="AX110" s="153" t="s">
        <v>72</v>
      </c>
      <c r="AY110" s="153" t="s">
        <v>80</v>
      </c>
      <c r="AZ110" s="187" t="s">
        <v>81</v>
      </c>
      <c r="BA110" s="183" t="s">
        <v>77</v>
      </c>
      <c r="BB110" s="185" t="s">
        <v>70</v>
      </c>
      <c r="BC110" s="153" t="s">
        <v>94</v>
      </c>
      <c r="BD110" s="153" t="s">
        <v>45</v>
      </c>
      <c r="BE110" s="153" t="s">
        <v>79</v>
      </c>
      <c r="BF110" s="153" t="s">
        <v>68</v>
      </c>
      <c r="BG110" s="153" t="s">
        <v>34</v>
      </c>
      <c r="BH110" s="135" t="s">
        <v>69</v>
      </c>
      <c r="BI110" s="197"/>
      <c r="BJ110" s="178"/>
      <c r="BK110" s="227"/>
      <c r="BL110" s="349"/>
      <c r="BM110" s="227"/>
      <c r="BN110" s="275"/>
      <c r="BO110" s="12"/>
    </row>
    <row r="111" spans="1:67" x14ac:dyDescent="0.25">
      <c r="A111" s="296"/>
      <c r="B111" s="116"/>
      <c r="C111" s="115"/>
      <c r="D111" s="178"/>
      <c r="E111" s="189">
        <f>BL$105</f>
        <v>0</v>
      </c>
      <c r="F111" s="190">
        <f>IF($D$4=2024,1,0)</f>
        <v>1</v>
      </c>
      <c r="G111" s="178">
        <f>IF($B115="Yes",$C$5,$I115)</f>
        <v>12</v>
      </c>
      <c r="H111" s="191">
        <f>VLOOKUP(H114,'Lookup Tables'!$A$22:$B$33,2,FALSE)</f>
        <v>3</v>
      </c>
      <c r="I111" s="192">
        <f>VLOOKUP($E$4,'Lookup Tables'!$AB$46:$AN$58,MATCH($H111,'Lookup Tables'!$AB$46:$AN$46),FALSE)</f>
        <v>12</v>
      </c>
      <c r="J111" s="193">
        <f>VLOOKUP(H111,'Lookup Tables'!$A$3:$AA$16,MATCH(PersonCalcYr3!$G111,'Lookup Tables'!$A$3:$AA$3),FALSE)</f>
        <v>1.5161</v>
      </c>
      <c r="K111" s="194">
        <f>VLOOKUP(H114,'Lookup Tables'!$K$23:$L$34,2,FALSE)</f>
        <v>0</v>
      </c>
      <c r="L111" s="178">
        <f>IF(G111&lt;=K111,G111,K111)</f>
        <v>0</v>
      </c>
      <c r="M111" s="195">
        <f>IF(12-I111&gt;=1,1,0)</f>
        <v>0</v>
      </c>
      <c r="N111" s="196">
        <f>(('Rate Tables'!D24*PersonCalcYr3!E111)*PersonCalcYr3!L111)*PersonCalcYr3!F111*M111</f>
        <v>0</v>
      </c>
      <c r="O111" s="197">
        <f>G111-((J111+L111)*M111)</f>
        <v>12</v>
      </c>
      <c r="P111" s="197">
        <f>IF(O111&lt;0,O111*0,1)*O111</f>
        <v>12</v>
      </c>
      <c r="Q111" s="198">
        <f>H111+(L111*M111)+(J111*M111)</f>
        <v>3</v>
      </c>
      <c r="R111" s="199" t="str">
        <f>VLOOKUP(Q111,'Lookup Tables'!$A$38:$B$151,2,FALSE)</f>
        <v>Sept</v>
      </c>
      <c r="S111" s="191">
        <f>VLOOKUP(R111,'Lookup Tables'!$A$22:$B$33,2,FALSE)</f>
        <v>3</v>
      </c>
      <c r="T111" s="599">
        <f>VLOOKUP($E$4,'Lookup Tables'!$AB$63:$AN$75,MATCH(PersonCalcYr3!$S111,'Lookup Tables'!$AB$63:$AN$63),FALSE)</f>
        <v>0.5161</v>
      </c>
      <c r="U111" s="200">
        <f>VLOOKUP(S111,'Lookup Tables'!$A$3:$AA$16,MATCH(PersonCalcYr3!$P111,'Lookup Tables'!$A$3:$AA$3),FALSE)</f>
        <v>1.5161</v>
      </c>
      <c r="V111" s="496">
        <f>9-T111</f>
        <v>8.4839000000000002</v>
      </c>
      <c r="W111" s="201">
        <f>P111-U111</f>
        <v>10.4839</v>
      </c>
      <c r="X111" s="195">
        <f>IF(V111&lt;=W111,V111,W111)</f>
        <v>8.4839000000000002</v>
      </c>
      <c r="Y111" s="195">
        <f>IF(12-T111-U111-X111&gt;=0,1,0)</f>
        <v>1</v>
      </c>
      <c r="Z111" s="202">
        <f>((('Rate Tables'!E24*$E111)*PersonCalcYr3!$X111)*$F111)*Y111</f>
        <v>0</v>
      </c>
      <c r="AA111" s="197">
        <f>O111-(((U111*U115)+X111)*Y111)</f>
        <v>2</v>
      </c>
      <c r="AB111" s="197">
        <f>IF(AA111&lt;0,AA111*0,1)*AA111</f>
        <v>2</v>
      </c>
      <c r="AC111" s="601">
        <f>S111+(X111*Y111)+((U111*U115)*Y111)</f>
        <v>13</v>
      </c>
      <c r="AD111" s="199" t="str">
        <f>VLOOKUP(AC111,'Lookup Tables'!$A$38:$B$151,2,FALSE)</f>
        <v>July</v>
      </c>
      <c r="AE111" s="191">
        <f>VLOOKUP(AD111,'Lookup Tables'!$A$22:$B$33,2,FALSE)</f>
        <v>1</v>
      </c>
      <c r="AF111" s="200">
        <f>VLOOKUP(AE111,'Lookup Tables'!$A$3:$AA$16,MATCH(PersonCalcYr3!AB111,'Lookup Tables'!$A$3:$AA$3),FALSE)</f>
        <v>1.4839</v>
      </c>
      <c r="AG111" s="178">
        <v>9</v>
      </c>
      <c r="AH111" s="201">
        <f>AB111-AF111</f>
        <v>0.5161</v>
      </c>
      <c r="AI111" s="195">
        <f>IF(AG111&lt;=AH111,AG111,AH111)</f>
        <v>0.5161</v>
      </c>
      <c r="AJ111" s="195">
        <f>IF((AG111+AF111)&lt;=0,0,1)</f>
        <v>1</v>
      </c>
      <c r="AK111" s="204">
        <f>((('Rate Tables'!F24*$E111)*PersonCalcYr3!AI111)*$F111)*AJ111</f>
        <v>0</v>
      </c>
      <c r="AL111" s="215">
        <f>AB111-AF111-AI111</f>
        <v>0</v>
      </c>
      <c r="AM111" s="197">
        <f>IF(AL111&lt;0,AL111*0,1)*AL111</f>
        <v>0</v>
      </c>
      <c r="AN111" s="208">
        <f>AE111+(AI111*AJ111)+((AF111*AF115)*AJ111)</f>
        <v>3</v>
      </c>
      <c r="AO111" s="199" t="str">
        <f>VLOOKUP(AN111,'Lookup Tables'!$A$38:$B$151,2,FALSE)</f>
        <v>Sept</v>
      </c>
      <c r="AP111" s="191">
        <f>VLOOKUP(AO111,'Lookup Tables'!$A$22:$B$33,2,FALSE)</f>
        <v>3</v>
      </c>
      <c r="AQ111" s="200">
        <f>VLOOKUP(AP111,'Lookup Tables'!$A$3:$AA$16,MATCH(PersonCalcYr3!AM111,'Lookup Tables'!$A$3:$AA$3),FALSE)</f>
        <v>0</v>
      </c>
      <c r="AR111" s="178">
        <v>9</v>
      </c>
      <c r="AS111" s="201">
        <f>AM111-AQ111</f>
        <v>0</v>
      </c>
      <c r="AT111" s="195">
        <f>IF(AR111&lt;=AS111,AR111,AS111)</f>
        <v>0</v>
      </c>
      <c r="AU111" s="195">
        <f>IF((AR111+AQ111)&lt;=0,0,1)</f>
        <v>1</v>
      </c>
      <c r="AV111" s="204">
        <f>((('Rate Tables'!G24*$E111)*PersonCalcYr3!AT111)*$F111)*AU111</f>
        <v>0</v>
      </c>
      <c r="AW111" s="215">
        <f>AM111-AQ111-AT111</f>
        <v>0</v>
      </c>
      <c r="AX111" s="197">
        <f>IF(AW111&lt;0,AW111*0,1)*AW111</f>
        <v>0</v>
      </c>
      <c r="AY111" s="208">
        <f>AP111+(AT111*AU111)+((AQ111*AQ115)*AU111)</f>
        <v>3</v>
      </c>
      <c r="AZ111" s="199" t="str">
        <f>VLOOKUP(AY111,'Lookup Tables'!$A$38:$B$151,2,FALSE)</f>
        <v>Sept</v>
      </c>
      <c r="BA111" s="191">
        <f>VLOOKUP(AZ111,'Lookup Tables'!$A$22:$B$33,2,FALSE)</f>
        <v>3</v>
      </c>
      <c r="BB111" s="200">
        <f>VLOOKUP(BA111,'Lookup Tables'!$A$3:$AA$16,MATCH(PersonCalcYr3!AX111,'Lookup Tables'!$A$3:$AA$3),FALSE)</f>
        <v>0</v>
      </c>
      <c r="BC111" s="178">
        <v>9</v>
      </c>
      <c r="BD111" s="201">
        <f>AX111-BB111</f>
        <v>0</v>
      </c>
      <c r="BE111" s="195">
        <f>IF(BC111&lt;=BD111,BC111,BD111)</f>
        <v>0</v>
      </c>
      <c r="BF111" s="195">
        <f>IF((BC111+BB111)&lt;=0,0,1)</f>
        <v>1</v>
      </c>
      <c r="BG111" s="204">
        <f>((('Rate Tables'!H24*$E111)*PersonCalcYr3!BE111)*$F111)*BF111</f>
        <v>0</v>
      </c>
      <c r="BH111" s="215">
        <f>AX111-BB111-BE111</f>
        <v>0</v>
      </c>
      <c r="BI111" s="197"/>
      <c r="BJ111" s="178"/>
      <c r="BK111" s="227"/>
      <c r="BL111" s="349"/>
      <c r="BM111" s="227"/>
      <c r="BN111" s="275"/>
      <c r="BO111" s="12"/>
    </row>
    <row r="112" spans="1:67" x14ac:dyDescent="0.25">
      <c r="A112" s="296"/>
      <c r="B112" s="116"/>
      <c r="C112" s="819" t="s">
        <v>732</v>
      </c>
      <c r="D112" s="178"/>
      <c r="E112" s="153" t="s">
        <v>16</v>
      </c>
      <c r="F112" s="153" t="s">
        <v>42</v>
      </c>
      <c r="G112" s="153" t="s">
        <v>41</v>
      </c>
      <c r="H112" s="183" t="s">
        <v>77</v>
      </c>
      <c r="I112" s="184" t="s">
        <v>90</v>
      </c>
      <c r="J112" s="185" t="s">
        <v>70</v>
      </c>
      <c r="K112" s="186" t="s">
        <v>109</v>
      </c>
      <c r="L112" s="153" t="s">
        <v>53</v>
      </c>
      <c r="M112" s="153" t="s">
        <v>82</v>
      </c>
      <c r="N112" s="153" t="s">
        <v>32</v>
      </c>
      <c r="O112" s="135" t="s">
        <v>69</v>
      </c>
      <c r="P112" s="153" t="s">
        <v>72</v>
      </c>
      <c r="Q112" s="183" t="s">
        <v>80</v>
      </c>
      <c r="R112" s="187" t="s">
        <v>81</v>
      </c>
      <c r="S112" s="183" t="s">
        <v>77</v>
      </c>
      <c r="T112" s="598" t="s">
        <v>83</v>
      </c>
      <c r="U112" s="185" t="s">
        <v>70</v>
      </c>
      <c r="V112" s="153" t="s">
        <v>92</v>
      </c>
      <c r="W112" s="153" t="s">
        <v>44</v>
      </c>
      <c r="X112" s="153" t="s">
        <v>78</v>
      </c>
      <c r="Y112" s="153" t="s">
        <v>68</v>
      </c>
      <c r="Z112" s="153" t="s">
        <v>33</v>
      </c>
      <c r="AA112" s="135" t="s">
        <v>69</v>
      </c>
      <c r="AB112" s="153" t="s">
        <v>72</v>
      </c>
      <c r="AC112" s="153" t="s">
        <v>80</v>
      </c>
      <c r="AD112" s="187" t="s">
        <v>81</v>
      </c>
      <c r="AE112" s="183" t="s">
        <v>77</v>
      </c>
      <c r="AF112" s="185" t="s">
        <v>70</v>
      </c>
      <c r="AG112" s="153" t="s">
        <v>94</v>
      </c>
      <c r="AH112" s="153" t="s">
        <v>45</v>
      </c>
      <c r="AI112" s="153" t="s">
        <v>79</v>
      </c>
      <c r="AJ112" s="153" t="s">
        <v>68</v>
      </c>
      <c r="AK112" s="153" t="s">
        <v>34</v>
      </c>
      <c r="AL112" s="135" t="s">
        <v>69</v>
      </c>
      <c r="AM112" s="153" t="s">
        <v>72</v>
      </c>
      <c r="AN112" s="153" t="s">
        <v>80</v>
      </c>
      <c r="AO112" s="187" t="s">
        <v>81</v>
      </c>
      <c r="AP112" s="183" t="s">
        <v>77</v>
      </c>
      <c r="AQ112" s="185" t="s">
        <v>70</v>
      </c>
      <c r="AR112" s="153" t="s">
        <v>94</v>
      </c>
      <c r="AS112" s="153" t="s">
        <v>45</v>
      </c>
      <c r="AT112" s="153" t="s">
        <v>79</v>
      </c>
      <c r="AU112" s="153" t="s">
        <v>68</v>
      </c>
      <c r="AV112" s="153" t="s">
        <v>34</v>
      </c>
      <c r="AW112" s="135" t="s">
        <v>69</v>
      </c>
      <c r="AX112" s="153" t="s">
        <v>72</v>
      </c>
      <c r="AY112" s="153" t="s">
        <v>80</v>
      </c>
      <c r="AZ112" s="187" t="s">
        <v>81</v>
      </c>
      <c r="BA112" s="183" t="s">
        <v>77</v>
      </c>
      <c r="BB112" s="185" t="s">
        <v>70</v>
      </c>
      <c r="BC112" s="153" t="s">
        <v>94</v>
      </c>
      <c r="BD112" s="153" t="s">
        <v>45</v>
      </c>
      <c r="BE112" s="153" t="s">
        <v>79</v>
      </c>
      <c r="BF112" s="153" t="s">
        <v>68</v>
      </c>
      <c r="BG112" s="153" t="s">
        <v>34</v>
      </c>
      <c r="BH112" s="135" t="s">
        <v>69</v>
      </c>
      <c r="BI112" s="197"/>
      <c r="BJ112" s="178"/>
      <c r="BK112" s="227"/>
      <c r="BL112" s="349"/>
      <c r="BM112" s="227"/>
      <c r="BN112" s="275"/>
      <c r="BO112" s="12"/>
    </row>
    <row r="113" spans="1:67" x14ac:dyDescent="0.25">
      <c r="A113" s="296"/>
      <c r="B113" s="116"/>
      <c r="C113" s="115"/>
      <c r="D113" s="178"/>
      <c r="E113" s="189">
        <f>BL$105</f>
        <v>0</v>
      </c>
      <c r="F113" s="190">
        <f>IF($D$4=2025,1,0)</f>
        <v>0</v>
      </c>
      <c r="G113" s="178">
        <f>IF($B115="Yes",$C$5,$I115)</f>
        <v>12</v>
      </c>
      <c r="H113" s="191">
        <f>VLOOKUP(H114,'Lookup Tables'!$A$22:$B$33,2,FALSE)</f>
        <v>3</v>
      </c>
      <c r="I113" s="192">
        <f>VLOOKUP($E$4,'Lookup Tables'!$AB$46:$AN$58,MATCH($H113,'Lookup Tables'!$AB$46:$AN$46),FALSE)</f>
        <v>12</v>
      </c>
      <c r="J113" s="193">
        <f>VLOOKUP(H113,'Lookup Tables'!$A$3:$AA$16,MATCH(PersonCalcYr3!$G113,'Lookup Tables'!$A$3:$AA$3),FALSE)</f>
        <v>1.5161</v>
      </c>
      <c r="K113" s="194">
        <f>VLOOKUP(H114,'Lookup Tables'!$K$23:$L$34,2,FALSE)</f>
        <v>0</v>
      </c>
      <c r="L113" s="178">
        <f>IF(G113&lt;=K113,G113,K113)</f>
        <v>0</v>
      </c>
      <c r="M113" s="195">
        <f>IF(12-I113&gt;=1,1,0)</f>
        <v>0</v>
      </c>
      <c r="N113" s="196">
        <f>(('Rate Tables'!E24*PersonCalcYr3!E113)*PersonCalcYr3!L113)*PersonCalcYr3!F113*M113</f>
        <v>0</v>
      </c>
      <c r="O113" s="197">
        <f>G113-((J113+L113)*M113)</f>
        <v>12</v>
      </c>
      <c r="P113" s="197">
        <f>IF(O113&lt;0,O113*0,1)*O113</f>
        <v>12</v>
      </c>
      <c r="Q113" s="198">
        <f>H113+(L113*M113)+(J113*M113)</f>
        <v>3</v>
      </c>
      <c r="R113" s="199" t="str">
        <f>VLOOKUP(Q113,'Lookup Tables'!$A$38:$B$151,2,FALSE)</f>
        <v>Sept</v>
      </c>
      <c r="S113" s="191">
        <f>VLOOKUP(R113,'Lookup Tables'!$A$22:$B$33,2,FALSE)</f>
        <v>3</v>
      </c>
      <c r="T113" s="599">
        <f>VLOOKUP($E$4,'Lookup Tables'!$AB$63:$AN$75,MATCH(PersonCalcYr3!$S113,'Lookup Tables'!$AB$63:$AN$63),FALSE)</f>
        <v>0.5161</v>
      </c>
      <c r="U113" s="200">
        <f>VLOOKUP(S113,'Lookup Tables'!$A$3:$AA$16,MATCH(PersonCalcYr3!$P113,'Lookup Tables'!$A$3:$AA$3),FALSE)</f>
        <v>1.5161</v>
      </c>
      <c r="V113" s="496">
        <f>9-T113</f>
        <v>8.4839000000000002</v>
      </c>
      <c r="W113" s="201">
        <f>P113-U113</f>
        <v>10.4839</v>
      </c>
      <c r="X113" s="195">
        <f>IF(V113&lt;=W113,V113,W113)</f>
        <v>8.4839000000000002</v>
      </c>
      <c r="Y113" s="195">
        <f>IF(12-T113-U113-X113&gt;=0,1,0)</f>
        <v>1</v>
      </c>
      <c r="Z113" s="202">
        <f>((('Rate Tables'!F24*$E113)*PersonCalcYr3!$X113)*$F113)*Y113</f>
        <v>0</v>
      </c>
      <c r="AA113" s="197">
        <f>O113-(((U113*U115)+X113)*Y113)</f>
        <v>2</v>
      </c>
      <c r="AB113" s="197">
        <f>IF(AA113&lt;0,AA113*0,1)*AA113</f>
        <v>2</v>
      </c>
      <c r="AC113" s="601">
        <f>S113+(X113*Y113)+((U113*U115)*Y113)</f>
        <v>13</v>
      </c>
      <c r="AD113" s="199" t="str">
        <f>VLOOKUP(AC113,'Lookup Tables'!$A$38:$B$151,2,FALSE)</f>
        <v>July</v>
      </c>
      <c r="AE113" s="191">
        <f>VLOOKUP(AD113,'Lookup Tables'!$A$22:$B$33,2,FALSE)</f>
        <v>1</v>
      </c>
      <c r="AF113" s="200">
        <f>VLOOKUP(AE113,'Lookup Tables'!$A$3:$AA$16,MATCH(PersonCalcYr3!AB113,'Lookup Tables'!$A$3:$AA$3),FALSE)</f>
        <v>1.4839</v>
      </c>
      <c r="AG113" s="178">
        <v>9</v>
      </c>
      <c r="AH113" s="201">
        <f>AB113-AF113</f>
        <v>0.5161</v>
      </c>
      <c r="AI113" s="195">
        <f>IF(AG113&lt;=AH113,AG113,AH113)</f>
        <v>0.5161</v>
      </c>
      <c r="AJ113" s="195">
        <f>IF((AG113+AF113)&lt;=0,0,1)</f>
        <v>1</v>
      </c>
      <c r="AK113" s="204">
        <f>((('Rate Tables'!G24*$E113)*PersonCalcYr3!AI113)*$F113)*AJ113</f>
        <v>0</v>
      </c>
      <c r="AL113" s="215">
        <f>AB113-AF113-AI113</f>
        <v>0</v>
      </c>
      <c r="AM113" s="197">
        <f>IF(AL113&lt;0,AL113*0,1)*AL113</f>
        <v>0</v>
      </c>
      <c r="AN113" s="208">
        <f>AE113+(AI113*AJ113)+((AF113*AF115)*AJ113)</f>
        <v>3</v>
      </c>
      <c r="AO113" s="199" t="str">
        <f>VLOOKUP(AN113,'Lookup Tables'!$A$38:$B$151,2,FALSE)</f>
        <v>Sept</v>
      </c>
      <c r="AP113" s="191">
        <f>VLOOKUP(AO113,'Lookup Tables'!$A$22:$B$33,2,FALSE)</f>
        <v>3</v>
      </c>
      <c r="AQ113" s="200">
        <f>VLOOKUP(AP113,'Lookup Tables'!$A$3:$AA$16,MATCH(PersonCalcYr3!AM113,'Lookup Tables'!$A$3:$AA$3),FALSE)</f>
        <v>0</v>
      </c>
      <c r="AR113" s="178">
        <v>9</v>
      </c>
      <c r="AS113" s="201">
        <f>AM113-AQ113</f>
        <v>0</v>
      </c>
      <c r="AT113" s="195">
        <f>IF(AR113&lt;=AS113,AR113,AS113)</f>
        <v>0</v>
      </c>
      <c r="AU113" s="195">
        <f>IF((AR113+AQ113)&lt;=0,0,1)</f>
        <v>1</v>
      </c>
      <c r="AV113" s="204">
        <f>((('Rate Tables'!H24*$E113)*PersonCalcYr3!AT113)*$F113)*AU113</f>
        <v>0</v>
      </c>
      <c r="AW113" s="215">
        <f>AM113-AQ113-AT113</f>
        <v>0</v>
      </c>
      <c r="AX113" s="197">
        <f>IF(AW113&lt;0,AW113*0,1)*AW113</f>
        <v>0</v>
      </c>
      <c r="AY113" s="208">
        <f>AP113+(AT113*AU113)+((AQ113*AQ115)*AU113)</f>
        <v>3</v>
      </c>
      <c r="AZ113" s="199" t="str">
        <f>VLOOKUP(AY113,'Lookup Tables'!$A$38:$B$151,2,FALSE)</f>
        <v>Sept</v>
      </c>
      <c r="BA113" s="191">
        <f>VLOOKUP(AZ113,'Lookup Tables'!$A$22:$B$33,2,FALSE)</f>
        <v>3</v>
      </c>
      <c r="BB113" s="200">
        <f>VLOOKUP(BA113,'Lookup Tables'!$A$3:$AA$16,MATCH(PersonCalcYr3!AX113,'Lookup Tables'!$A$3:$AA$3),FALSE)</f>
        <v>0</v>
      </c>
      <c r="BC113" s="178">
        <v>9</v>
      </c>
      <c r="BD113" s="201">
        <f>AX113-BB113</f>
        <v>0</v>
      </c>
      <c r="BE113" s="195">
        <f>IF(BC113&lt;=BD113,BC113,BD113)</f>
        <v>0</v>
      </c>
      <c r="BF113" s="195">
        <f>IF((BC113+BB113)&lt;=0,0,1)</f>
        <v>1</v>
      </c>
      <c r="BG113" s="204">
        <f>((('Rate Tables'!I24*$E113)*PersonCalcYr3!BE113)*$F113)*BF113</f>
        <v>0</v>
      </c>
      <c r="BH113" s="215">
        <f>AX113-BB113-BE113</f>
        <v>0</v>
      </c>
      <c r="BI113" s="197"/>
      <c r="BJ113" s="178"/>
      <c r="BK113" s="227"/>
      <c r="BL113" s="349"/>
      <c r="BM113" s="227"/>
      <c r="BN113" s="275"/>
      <c r="BO113" s="12"/>
    </row>
    <row r="114" spans="1:67" x14ac:dyDescent="0.25">
      <c r="A114" s="296"/>
      <c r="B114" s="116"/>
      <c r="C114" s="115"/>
      <c r="D114" s="178"/>
      <c r="E114" s="205"/>
      <c r="F114" s="190"/>
      <c r="G114" s="178" t="s">
        <v>430</v>
      </c>
      <c r="H114" s="178" t="str">
        <f>IF(B115="yes",$C$4,A126)</f>
        <v>Sept</v>
      </c>
      <c r="I114" s="178"/>
      <c r="J114" s="178"/>
      <c r="K114" s="178"/>
      <c r="L114" s="178"/>
      <c r="M114" s="206"/>
      <c r="N114" s="207"/>
      <c r="O114" s="216"/>
      <c r="P114" s="190"/>
      <c r="Q114" s="190"/>
      <c r="R114" s="190"/>
      <c r="S114" s="190"/>
      <c r="T114" s="190"/>
      <c r="U114" s="178"/>
      <c r="V114" s="201"/>
      <c r="W114" s="201"/>
      <c r="X114" s="178"/>
      <c r="Y114" s="206"/>
      <c r="Z114" s="207"/>
      <c r="AA114" s="216"/>
      <c r="AB114" s="202"/>
      <c r="AC114" s="202"/>
      <c r="AD114" s="202"/>
      <c r="AE114" s="202"/>
      <c r="AF114" s="203"/>
      <c r="AG114" s="201"/>
      <c r="AH114" s="201"/>
      <c r="AI114" s="178"/>
      <c r="AJ114" s="206"/>
      <c r="AK114" s="207"/>
      <c r="AL114" s="216"/>
      <c r="AM114" s="202"/>
      <c r="AN114" s="202"/>
      <c r="AO114" s="202"/>
      <c r="AP114" s="202"/>
      <c r="AQ114" s="203"/>
      <c r="AR114" s="201"/>
      <c r="AS114" s="201"/>
      <c r="AT114" s="178"/>
      <c r="AU114" s="206"/>
      <c r="AV114" s="207"/>
      <c r="AW114" s="216"/>
      <c r="AX114" s="208"/>
      <c r="AY114" s="208"/>
      <c r="AZ114" s="208"/>
      <c r="BA114" s="208"/>
      <c r="BB114" s="208"/>
      <c r="BC114" s="208"/>
      <c r="BD114" s="208"/>
      <c r="BE114" s="208"/>
      <c r="BF114" s="208"/>
      <c r="BG114" s="208"/>
      <c r="BH114" s="202"/>
      <c r="BI114" s="202"/>
      <c r="BJ114" s="178"/>
      <c r="BK114" s="307" t="s">
        <v>450</v>
      </c>
      <c r="BL114" s="349">
        <f>IF(B105=0,0,1)</f>
        <v>1</v>
      </c>
      <c r="BM114" s="227"/>
      <c r="BN114" s="275"/>
      <c r="BO114" s="12"/>
    </row>
    <row r="115" spans="1:67" x14ac:dyDescent="0.25">
      <c r="A115" s="37" t="s">
        <v>431</v>
      </c>
      <c r="B115" s="375" t="str">
        <f>Personnel!U33</f>
        <v>YES</v>
      </c>
      <c r="C115" s="115"/>
      <c r="D115" s="178"/>
      <c r="E115" s="205"/>
      <c r="F115" s="190"/>
      <c r="G115" s="818" t="s">
        <v>665</v>
      </c>
      <c r="H115" s="11">
        <f>IF(H116&lt;$C$5,H116,$C$5)</f>
        <v>12</v>
      </c>
      <c r="I115" s="178">
        <f>IF(B126&lt;=H116,B126,H116)</f>
        <v>0</v>
      </c>
      <c r="J115" s="178"/>
      <c r="K115" s="178"/>
      <c r="L115" s="178"/>
      <c r="M115" s="178"/>
      <c r="N115" s="178"/>
      <c r="O115" s="217"/>
      <c r="P115" s="190"/>
      <c r="Q115" s="190"/>
      <c r="R115" s="190"/>
      <c r="S115" s="190"/>
      <c r="T115" s="605" t="s">
        <v>573</v>
      </c>
      <c r="U115" s="606">
        <f>VLOOKUP($E$4,'Lookup Tables'!$L$79:$X$91,MATCH(PersonCalcYr3!$S107,'Lookup Tables'!$L$79:$X$79),FALSE)</f>
        <v>1</v>
      </c>
      <c r="V115" s="201"/>
      <c r="W115" s="201"/>
      <c r="X115" s="201"/>
      <c r="Y115" s="195"/>
      <c r="Z115" s="195"/>
      <c r="AA115" s="202"/>
      <c r="AB115" s="202"/>
      <c r="AC115" s="202"/>
      <c r="AD115" s="202"/>
      <c r="AE115" s="605" t="s">
        <v>573</v>
      </c>
      <c r="AF115" s="714">
        <v>1</v>
      </c>
      <c r="AG115" s="201"/>
      <c r="AH115" s="201"/>
      <c r="AI115" s="201"/>
      <c r="AJ115" s="201"/>
      <c r="AK115" s="202"/>
      <c r="AL115" s="202"/>
      <c r="AM115" s="202"/>
      <c r="AN115" s="202"/>
      <c r="AO115" s="202"/>
      <c r="AP115" s="605" t="s">
        <v>573</v>
      </c>
      <c r="AQ115" s="714">
        <v>1</v>
      </c>
      <c r="AR115" s="201"/>
      <c r="AS115" s="201"/>
      <c r="AT115" s="201"/>
      <c r="AU115" s="201"/>
      <c r="AV115" s="202"/>
      <c r="AW115" s="202"/>
      <c r="AX115" s="202"/>
      <c r="AY115" s="202"/>
      <c r="AZ115" s="605"/>
      <c r="BA115" s="822"/>
      <c r="BB115" s="202"/>
      <c r="BC115" s="202"/>
      <c r="BD115" s="202"/>
      <c r="BE115" s="202"/>
      <c r="BF115" s="202"/>
      <c r="BG115" s="202"/>
      <c r="BH115" s="202"/>
      <c r="BI115" s="202"/>
      <c r="BJ115" s="178"/>
      <c r="BK115" s="748" t="s">
        <v>411</v>
      </c>
      <c r="BL115" s="460">
        <f>Personnel!W34</f>
        <v>0</v>
      </c>
      <c r="BM115" s="276" t="s">
        <v>117</v>
      </c>
      <c r="BN115" s="277">
        <f>(N118+W118+AJ118+AU118+BF118+N120+W120+AJ120+AU120+BF120+N122+W122+AJ122+AU122+BF122+N124+W124+AJ124+AU124+BF124)*BL114</f>
        <v>0</v>
      </c>
      <c r="BO115" s="224"/>
    </row>
    <row r="116" spans="1:67" x14ac:dyDescent="0.25">
      <c r="A116" s="296" t="s">
        <v>439</v>
      </c>
      <c r="B116" s="114" t="s">
        <v>427</v>
      </c>
      <c r="C116" s="114"/>
      <c r="D116" s="178"/>
      <c r="E116" s="178"/>
      <c r="F116" s="178"/>
      <c r="G116" s="818" t="s">
        <v>555</v>
      </c>
      <c r="H116" s="175">
        <f>VLOOKUP($E$4,'Lookup Tables'!$L$46:$AA$58,MATCH($H$107,'Lookup Tables'!$L$46:$X$46),FALSE)</f>
        <v>12</v>
      </c>
      <c r="I116" s="178"/>
      <c r="J116" s="178"/>
      <c r="K116" s="178"/>
      <c r="L116" s="178"/>
      <c r="M116" s="178"/>
      <c r="N116" s="178"/>
      <c r="O116" s="217"/>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227"/>
      <c r="BL116" s="12"/>
      <c r="BM116" s="278" t="s">
        <v>96</v>
      </c>
      <c r="BN116" s="279">
        <f>BN105+BN115</f>
        <v>0</v>
      </c>
      <c r="BO116" s="369"/>
    </row>
    <row r="117" spans="1:67" x14ac:dyDescent="0.25">
      <c r="A117" s="296"/>
      <c r="B117" s="116"/>
      <c r="C117" s="117" t="s">
        <v>30</v>
      </c>
      <c r="D117" s="178"/>
      <c r="E117" s="153" t="s">
        <v>84</v>
      </c>
      <c r="F117" s="153" t="s">
        <v>42</v>
      </c>
      <c r="G117" s="153" t="s">
        <v>41</v>
      </c>
      <c r="H117" s="183" t="s">
        <v>77</v>
      </c>
      <c r="I117" s="209" t="s">
        <v>101</v>
      </c>
      <c r="J117" s="210" t="s">
        <v>102</v>
      </c>
      <c r="K117" s="153" t="s">
        <v>98</v>
      </c>
      <c r="L117" s="153" t="s">
        <v>100</v>
      </c>
      <c r="M117" s="153" t="s">
        <v>82</v>
      </c>
      <c r="N117" s="153" t="s">
        <v>31</v>
      </c>
      <c r="O117" s="135" t="s">
        <v>69</v>
      </c>
      <c r="P117" s="153" t="s">
        <v>72</v>
      </c>
      <c r="Q117" s="153" t="s">
        <v>103</v>
      </c>
      <c r="R117" s="183" t="s">
        <v>77</v>
      </c>
      <c r="S117" s="209" t="s">
        <v>101</v>
      </c>
      <c r="T117" s="210" t="s">
        <v>102</v>
      </c>
      <c r="U117" s="178" t="s">
        <v>98</v>
      </c>
      <c r="V117" s="153" t="s">
        <v>100</v>
      </c>
      <c r="W117" s="153" t="s">
        <v>32</v>
      </c>
      <c r="X117" s="153" t="s">
        <v>69</v>
      </c>
      <c r="Y117" s="153"/>
      <c r="Z117" s="153"/>
      <c r="AA117" s="217"/>
      <c r="AB117" s="153" t="s">
        <v>72</v>
      </c>
      <c r="AC117" s="153" t="s">
        <v>103</v>
      </c>
      <c r="AD117" s="153"/>
      <c r="AE117" s="183" t="s">
        <v>77</v>
      </c>
      <c r="AF117" s="209" t="s">
        <v>101</v>
      </c>
      <c r="AG117" s="210" t="s">
        <v>102</v>
      </c>
      <c r="AH117" s="178" t="s">
        <v>98</v>
      </c>
      <c r="AI117" s="153" t="s">
        <v>100</v>
      </c>
      <c r="AJ117" s="153" t="s">
        <v>33</v>
      </c>
      <c r="AK117" s="153" t="s">
        <v>69</v>
      </c>
      <c r="AL117" s="217"/>
      <c r="AM117" s="153" t="s">
        <v>72</v>
      </c>
      <c r="AN117" s="153" t="s">
        <v>103</v>
      </c>
      <c r="AO117" s="153"/>
      <c r="AP117" s="183" t="s">
        <v>77</v>
      </c>
      <c r="AQ117" s="209" t="s">
        <v>101</v>
      </c>
      <c r="AR117" s="210" t="s">
        <v>102</v>
      </c>
      <c r="AS117" s="178" t="s">
        <v>98</v>
      </c>
      <c r="AT117" s="153" t="s">
        <v>100</v>
      </c>
      <c r="AU117" s="153" t="s">
        <v>33</v>
      </c>
      <c r="AV117" s="153" t="s">
        <v>69</v>
      </c>
      <c r="AW117" s="217"/>
      <c r="AX117" s="153" t="s">
        <v>72</v>
      </c>
      <c r="AY117" s="153" t="s">
        <v>103</v>
      </c>
      <c r="AZ117" s="153"/>
      <c r="BA117" s="183" t="s">
        <v>77</v>
      </c>
      <c r="BB117" s="209" t="s">
        <v>101</v>
      </c>
      <c r="BC117" s="210" t="s">
        <v>102</v>
      </c>
      <c r="BD117" s="178" t="s">
        <v>98</v>
      </c>
      <c r="BE117" s="153" t="s">
        <v>100</v>
      </c>
      <c r="BF117" s="153" t="s">
        <v>33</v>
      </c>
      <c r="BG117" s="153" t="s">
        <v>69</v>
      </c>
      <c r="BH117" s="153"/>
      <c r="BI117" s="153"/>
      <c r="BJ117" s="178"/>
      <c r="BK117" s="276" t="s">
        <v>95</v>
      </c>
      <c r="BL117" s="12"/>
      <c r="BM117" s="227"/>
      <c r="BN117" s="275"/>
      <c r="BO117" s="12"/>
    </row>
    <row r="118" spans="1:67" x14ac:dyDescent="0.25">
      <c r="A118" s="296"/>
      <c r="B118" s="116"/>
      <c r="C118" s="115"/>
      <c r="D118" s="178"/>
      <c r="E118" s="211">
        <f>IF(H125&lt;=H126,H125,H126)</f>
        <v>0</v>
      </c>
      <c r="F118" s="190">
        <f>IF($D$4=2022,1,0)</f>
        <v>0</v>
      </c>
      <c r="G118" s="178">
        <f>IF($B115="Yes",$C$5,$I115)</f>
        <v>12</v>
      </c>
      <c r="H118" s="191">
        <f>H107</f>
        <v>3</v>
      </c>
      <c r="I118" s="212">
        <f>VLOOKUP(J107,'Lookup Tables'!$AB$22:$AC$31,2,FALSE)</f>
        <v>32</v>
      </c>
      <c r="J118" s="213">
        <f>VLOOKUP(U107,'Lookup Tables'!$AB$32:$AC$41,2,FALSE)</f>
        <v>33</v>
      </c>
      <c r="K118" s="203">
        <f>E118-J118</f>
        <v>-33</v>
      </c>
      <c r="L118" s="178">
        <f>IF(K118&gt;0,1,0)</f>
        <v>0</v>
      </c>
      <c r="M118" s="195">
        <f>M107</f>
        <v>0</v>
      </c>
      <c r="N118" s="196">
        <f>((((('Rate Tables'!B24*9)*0.02778)/5)*K118)*L118)*F118*M118</f>
        <v>0</v>
      </c>
      <c r="O118" s="215">
        <f>O107</f>
        <v>12</v>
      </c>
      <c r="P118" s="197">
        <f>IF(O118&lt;0,O118*0,1)*O118</f>
        <v>12</v>
      </c>
      <c r="Q118" s="203">
        <f>(E118-K118*F118*L118*M118)</f>
        <v>0</v>
      </c>
      <c r="R118" s="191">
        <f>S107</f>
        <v>3</v>
      </c>
      <c r="S118" s="212">
        <f>VLOOKUP(U107,'Lookup Tables'!$AB$22:$AC$31,2,FALSE)</f>
        <v>32</v>
      </c>
      <c r="T118" s="213">
        <f>VLOOKUP(AF107,'Lookup Tables'!$AB$32:$AC$41,2,FALSE)</f>
        <v>33</v>
      </c>
      <c r="U118" s="206">
        <f>Q118-T118</f>
        <v>-33</v>
      </c>
      <c r="V118" s="178">
        <f>IF(U118&gt;0,1,0)</f>
        <v>0</v>
      </c>
      <c r="W118" s="196">
        <f>((('Rate Tables'!C24*9)*0.02778)/5)*U118*F118*V118</f>
        <v>0</v>
      </c>
      <c r="X118" s="197">
        <f>AA107</f>
        <v>2</v>
      </c>
      <c r="Y118" s="178"/>
      <c r="Z118" s="195"/>
      <c r="AA118" s="217"/>
      <c r="AB118" s="197">
        <f>IF(X118&lt;0,X118*0,1)*X118</f>
        <v>2</v>
      </c>
      <c r="AC118" s="203">
        <f>Q118-(U118*V118)</f>
        <v>0</v>
      </c>
      <c r="AD118" s="178"/>
      <c r="AE118" s="191">
        <f>AE107</f>
        <v>1</v>
      </c>
      <c r="AF118" s="212">
        <f>VLOOKUP(AF107,'Lookup Tables'!$AB$22:$AC$31,2,FALSE)</f>
        <v>32</v>
      </c>
      <c r="AG118" s="213">
        <f>VLOOKUP(AQ107,'Lookup Tables'!$AB$32:$AC$41,2,FALSE)</f>
        <v>0</v>
      </c>
      <c r="AH118" s="208">
        <f>AC118-AG118</f>
        <v>0</v>
      </c>
      <c r="AI118" s="178">
        <f>IF(AH118&gt;0,1,0)</f>
        <v>0</v>
      </c>
      <c r="AJ118" s="196">
        <f>((('Rate Tables'!D24*9)*0.02778)/5)*AH118*AI118*F118</f>
        <v>0</v>
      </c>
      <c r="AK118" s="197">
        <f>AL107</f>
        <v>0</v>
      </c>
      <c r="AL118" s="217"/>
      <c r="AM118" s="197">
        <f>IF(AK118&lt;0,AK118*0,1)*AK118</f>
        <v>0</v>
      </c>
      <c r="AN118" s="203">
        <f>AC118-(AH118*AI118)</f>
        <v>0</v>
      </c>
      <c r="AO118" s="178"/>
      <c r="AP118" s="191">
        <f>AP107</f>
        <v>3</v>
      </c>
      <c r="AQ118" s="212">
        <f>VLOOKUP(AQ107,'Lookup Tables'!$AB$22:$AC$31,2,FALSE)</f>
        <v>0</v>
      </c>
      <c r="AR118" s="213">
        <f>VLOOKUP(BB107,'Lookup Tables'!$AB$32:$AC$41,2,FALSE)</f>
        <v>0</v>
      </c>
      <c r="AS118" s="208">
        <f>AN118-AR118</f>
        <v>0</v>
      </c>
      <c r="AT118" s="178">
        <f>IF(AS118&gt;0,1,0)</f>
        <v>0</v>
      </c>
      <c r="AU118" s="196">
        <f>((('Rate Tables'!E24*9)*0.02778)/5)*AS118*AT118*F118</f>
        <v>0</v>
      </c>
      <c r="AV118" s="197">
        <f>AW107</f>
        <v>0</v>
      </c>
      <c r="AW118" s="217"/>
      <c r="AX118" s="197">
        <f>IF(AV118&lt;0,AV118*0,1)*AV118</f>
        <v>0</v>
      </c>
      <c r="AY118" s="203">
        <f>AN118-(AS118*AT118)</f>
        <v>0</v>
      </c>
      <c r="AZ118" s="178"/>
      <c r="BA118" s="191">
        <f>BA107</f>
        <v>3</v>
      </c>
      <c r="BB118" s="212">
        <f>VLOOKUP(BB107,'Lookup Tables'!$AB$22:$AC$31,2,FALSE)</f>
        <v>0</v>
      </c>
      <c r="BC118" s="213">
        <v>0</v>
      </c>
      <c r="BD118" s="208">
        <f>AY118-BC118</f>
        <v>0</v>
      </c>
      <c r="BE118" s="178">
        <f>IF(BD118&gt;0,1,0)</f>
        <v>0</v>
      </c>
      <c r="BF118" s="196">
        <f>((('Rate Tables'!F24*9)*0.02778)/5)*BD118*BE118*F118</f>
        <v>0</v>
      </c>
      <c r="BG118" s="197">
        <f>BH107</f>
        <v>0</v>
      </c>
      <c r="BH118" s="197"/>
      <c r="BI118" s="197"/>
      <c r="BJ118" s="178"/>
      <c r="BK118" s="716">
        <f>BL115</f>
        <v>0</v>
      </c>
      <c r="BL118" s="225"/>
      <c r="BM118" s="227"/>
      <c r="BN118" s="275"/>
      <c r="BO118" s="12" t="s">
        <v>418</v>
      </c>
    </row>
    <row r="119" spans="1:67" x14ac:dyDescent="0.25">
      <c r="A119" s="296"/>
      <c r="B119" s="116"/>
      <c r="C119" s="117" t="s">
        <v>597</v>
      </c>
      <c r="D119" s="178"/>
      <c r="E119" s="153" t="s">
        <v>84</v>
      </c>
      <c r="F119" s="153" t="s">
        <v>42</v>
      </c>
      <c r="G119" s="153" t="s">
        <v>41</v>
      </c>
      <c r="H119" s="183" t="s">
        <v>77</v>
      </c>
      <c r="I119" s="209" t="s">
        <v>105</v>
      </c>
      <c r="J119" s="210" t="s">
        <v>106</v>
      </c>
      <c r="K119" s="153" t="s">
        <v>99</v>
      </c>
      <c r="L119" s="153" t="s">
        <v>100</v>
      </c>
      <c r="M119" s="153" t="s">
        <v>82</v>
      </c>
      <c r="N119" s="153" t="s">
        <v>32</v>
      </c>
      <c r="O119" s="135" t="s">
        <v>69</v>
      </c>
      <c r="P119" s="153" t="s">
        <v>72</v>
      </c>
      <c r="Q119" s="153" t="s">
        <v>103</v>
      </c>
      <c r="R119" s="183" t="s">
        <v>77</v>
      </c>
      <c r="S119" s="209" t="s">
        <v>105</v>
      </c>
      <c r="T119" s="210" t="s">
        <v>106</v>
      </c>
      <c r="U119" s="178" t="s">
        <v>98</v>
      </c>
      <c r="V119" s="153" t="s">
        <v>100</v>
      </c>
      <c r="W119" s="153" t="s">
        <v>33</v>
      </c>
      <c r="X119" s="153" t="s">
        <v>69</v>
      </c>
      <c r="Y119" s="153"/>
      <c r="Z119" s="153"/>
      <c r="AA119" s="217"/>
      <c r="AB119" s="153" t="s">
        <v>72</v>
      </c>
      <c r="AC119" s="153" t="s">
        <v>104</v>
      </c>
      <c r="AD119" s="153"/>
      <c r="AE119" s="183" t="s">
        <v>77</v>
      </c>
      <c r="AF119" s="209" t="s">
        <v>105</v>
      </c>
      <c r="AG119" s="210" t="s">
        <v>106</v>
      </c>
      <c r="AH119" s="178" t="s">
        <v>98</v>
      </c>
      <c r="AI119" s="153" t="s">
        <v>100</v>
      </c>
      <c r="AJ119" s="153" t="s">
        <v>34</v>
      </c>
      <c r="AK119" s="153" t="s">
        <v>69</v>
      </c>
      <c r="AL119" s="217"/>
      <c r="AM119" s="153" t="s">
        <v>72</v>
      </c>
      <c r="AN119" s="153" t="s">
        <v>104</v>
      </c>
      <c r="AO119" s="153"/>
      <c r="AP119" s="183" t="s">
        <v>77</v>
      </c>
      <c r="AQ119" s="209" t="s">
        <v>105</v>
      </c>
      <c r="AR119" s="210" t="s">
        <v>106</v>
      </c>
      <c r="AS119" s="178" t="s">
        <v>98</v>
      </c>
      <c r="AT119" s="153" t="s">
        <v>100</v>
      </c>
      <c r="AU119" s="153" t="s">
        <v>34</v>
      </c>
      <c r="AV119" s="153" t="s">
        <v>69</v>
      </c>
      <c r="AW119" s="217"/>
      <c r="AX119" s="153" t="s">
        <v>72</v>
      </c>
      <c r="AY119" s="153" t="s">
        <v>104</v>
      </c>
      <c r="AZ119" s="153"/>
      <c r="BA119" s="183" t="s">
        <v>77</v>
      </c>
      <c r="BB119" s="209" t="s">
        <v>105</v>
      </c>
      <c r="BC119" s="210" t="s">
        <v>106</v>
      </c>
      <c r="BD119" s="178" t="s">
        <v>98</v>
      </c>
      <c r="BE119" s="153" t="s">
        <v>100</v>
      </c>
      <c r="BF119" s="153" t="s">
        <v>34</v>
      </c>
      <c r="BG119" s="153" t="s">
        <v>69</v>
      </c>
      <c r="BH119" s="178"/>
      <c r="BI119" s="178"/>
      <c r="BJ119" s="178"/>
      <c r="BK119" s="227"/>
      <c r="BL119" s="224"/>
      <c r="BM119" s="227" t="s">
        <v>451</v>
      </c>
      <c r="BN119" s="275">
        <f>(VLOOKUP($B105,'Rate Tables'!$O$2:$P$8,2,FALSE))</f>
        <v>0.2697</v>
      </c>
      <c r="BO119" s="372">
        <f>VLOOKUP('F&amp;ARatesCalc'!$B$1,'F&amp;ARatesCalc'!$A$3:$B$5,2,FALSE)</f>
        <v>0.56999999999999995</v>
      </c>
    </row>
    <row r="120" spans="1:67" x14ac:dyDescent="0.25">
      <c r="A120" s="296"/>
      <c r="B120" s="116"/>
      <c r="C120" s="115"/>
      <c r="D120" s="178"/>
      <c r="E120" s="211">
        <f>E118</f>
        <v>0</v>
      </c>
      <c r="F120" s="190">
        <f>IF($D$4=2023,1,0)</f>
        <v>0</v>
      </c>
      <c r="G120" s="178">
        <f>IF($B115="Yes",$C$5,$I115)</f>
        <v>12</v>
      </c>
      <c r="H120" s="191">
        <f>H109</f>
        <v>3</v>
      </c>
      <c r="I120" s="212">
        <f>VLOOKUP(J109,'Lookup Tables'!$AB$22:$AC$31,2,FALSE)</f>
        <v>32</v>
      </c>
      <c r="J120" s="213">
        <f>VLOOKUP(U109,'Lookup Tables'!$AB$32:$AC$41,2,FALSE)</f>
        <v>33</v>
      </c>
      <c r="K120" s="203">
        <f>E120-J120</f>
        <v>-33</v>
      </c>
      <c r="L120" s="178">
        <f>IF(K120&gt;0,1,0)</f>
        <v>0</v>
      </c>
      <c r="M120" s="195">
        <f>M109</f>
        <v>0</v>
      </c>
      <c r="N120" s="196">
        <f>((((('Rate Tables'!C24*9)*0.02778)/5)*K120)*L120)*F120*M120</f>
        <v>0</v>
      </c>
      <c r="O120" s="215">
        <f>O109</f>
        <v>12</v>
      </c>
      <c r="P120" s="197">
        <f>IF(O120&lt;0,O120*0,1)*O120</f>
        <v>12</v>
      </c>
      <c r="Q120" s="203">
        <f>(E120-K120*F120*L120*M120)</f>
        <v>0</v>
      </c>
      <c r="R120" s="191">
        <f>S109</f>
        <v>3</v>
      </c>
      <c r="S120" s="212">
        <f>VLOOKUP(U109,'Lookup Tables'!$AB$22:$AC$31,2,FALSE)</f>
        <v>32</v>
      </c>
      <c r="T120" s="213">
        <f>VLOOKUP(AF109,'Lookup Tables'!$AB$32:$AC$41,2,FALSE)</f>
        <v>33</v>
      </c>
      <c r="U120" s="206">
        <f>Q120-T120</f>
        <v>-33</v>
      </c>
      <c r="V120" s="178">
        <f>IF(U120&gt;0,1,0)</f>
        <v>0</v>
      </c>
      <c r="W120" s="196">
        <f>((('Rate Tables'!D24*9)*0.02778)/5)*U120*F120*V120</f>
        <v>0</v>
      </c>
      <c r="X120" s="197">
        <f>AA109</f>
        <v>2</v>
      </c>
      <c r="Y120" s="178"/>
      <c r="Z120" s="195"/>
      <c r="AA120" s="217"/>
      <c r="AB120" s="197">
        <f>IF(X120&lt;0,X120*0,1)*X120</f>
        <v>2</v>
      </c>
      <c r="AC120" s="203">
        <f>Q120-(U120*V120)</f>
        <v>0</v>
      </c>
      <c r="AD120" s="178"/>
      <c r="AE120" s="191">
        <f>AE109</f>
        <v>1</v>
      </c>
      <c r="AF120" s="212">
        <f>VLOOKUP(AF109,'Lookup Tables'!$AB$22:$AC$31,2,FALSE)</f>
        <v>32</v>
      </c>
      <c r="AG120" s="213">
        <f>VLOOKUP(AQ109,'Lookup Tables'!$AB$32:$AC$41,2,FALSE)</f>
        <v>0</v>
      </c>
      <c r="AH120" s="208">
        <f>AC120-AG120</f>
        <v>0</v>
      </c>
      <c r="AI120" s="178">
        <f>IF(AH120&gt;0,1,0)</f>
        <v>0</v>
      </c>
      <c r="AJ120" s="196">
        <f>((('Rate Tables'!E24*9)*0.02778)/5)*AH120*AI120*F120</f>
        <v>0</v>
      </c>
      <c r="AK120" s="197">
        <f>AL109</f>
        <v>0</v>
      </c>
      <c r="AL120" s="217"/>
      <c r="AM120" s="197">
        <f>IF(AK120&lt;0,AK120*0,1)*AK120</f>
        <v>0</v>
      </c>
      <c r="AN120" s="203">
        <f>AC120-(AH120*AI120)</f>
        <v>0</v>
      </c>
      <c r="AO120" s="178"/>
      <c r="AP120" s="191">
        <f>AP109</f>
        <v>3</v>
      </c>
      <c r="AQ120" s="212">
        <f>VLOOKUP(AQ109,'Lookup Tables'!$AB$22:$AC$31,2,FALSE)</f>
        <v>0</v>
      </c>
      <c r="AR120" s="213">
        <f>VLOOKUP(BB109,'Lookup Tables'!$AB$32:$AC$41,2,FALSE)</f>
        <v>0</v>
      </c>
      <c r="AS120" s="208">
        <f>AN120-AR120</f>
        <v>0</v>
      </c>
      <c r="AT120" s="178">
        <f>IF(AS120&gt;0,1,0)</f>
        <v>0</v>
      </c>
      <c r="AU120" s="196">
        <f>((('Rate Tables'!F24*9)*0.02778)/5)*AS120*AT120*F120</f>
        <v>0</v>
      </c>
      <c r="AV120" s="197">
        <f>AW109</f>
        <v>0</v>
      </c>
      <c r="AW120" s="217"/>
      <c r="AX120" s="197">
        <f>IF(AV120&lt;0,AV120*0,1)*AV120</f>
        <v>0</v>
      </c>
      <c r="AY120" s="203">
        <f>AN120-(AS120*AT120)</f>
        <v>0</v>
      </c>
      <c r="AZ120" s="178"/>
      <c r="BA120" s="191">
        <f>BA109</f>
        <v>3</v>
      </c>
      <c r="BB120" s="212">
        <f>VLOOKUP(BB109,'Lookup Tables'!$AB$22:$AC$31,2,FALSE)</f>
        <v>0</v>
      </c>
      <c r="BC120" s="213">
        <v>0</v>
      </c>
      <c r="BD120" s="208">
        <f>AY120-BC120</f>
        <v>0</v>
      </c>
      <c r="BE120" s="178">
        <f>IF(BD120&gt;0,1,0)</f>
        <v>0</v>
      </c>
      <c r="BF120" s="196">
        <f>((('Rate Tables'!G24*9)*0.02778)/5)*BD120*BE120*F120</f>
        <v>0</v>
      </c>
      <c r="BG120" s="197">
        <f>BH109</f>
        <v>0</v>
      </c>
      <c r="BH120" s="178"/>
      <c r="BI120" s="178"/>
      <c r="BJ120" s="178"/>
      <c r="BK120" s="227"/>
      <c r="BL120" s="12"/>
      <c r="BM120" s="227" t="s">
        <v>452</v>
      </c>
      <c r="BN120" s="275">
        <f>_xlfn.IFNA(BN119,0)</f>
        <v>0.2697</v>
      </c>
      <c r="BO120" s="12" t="s">
        <v>417</v>
      </c>
    </row>
    <row r="121" spans="1:67" x14ac:dyDescent="0.25">
      <c r="A121" s="296"/>
      <c r="B121" s="116"/>
      <c r="C121" s="117" t="s">
        <v>664</v>
      </c>
      <c r="D121" s="178"/>
      <c r="E121" s="153" t="s">
        <v>84</v>
      </c>
      <c r="F121" s="153" t="s">
        <v>42</v>
      </c>
      <c r="G121" s="153" t="s">
        <v>41</v>
      </c>
      <c r="H121" s="183" t="s">
        <v>77</v>
      </c>
      <c r="I121" s="209" t="s">
        <v>105</v>
      </c>
      <c r="J121" s="210" t="s">
        <v>106</v>
      </c>
      <c r="K121" s="153" t="s">
        <v>99</v>
      </c>
      <c r="L121" s="153" t="s">
        <v>100</v>
      </c>
      <c r="M121" s="153" t="s">
        <v>82</v>
      </c>
      <c r="N121" s="153" t="s">
        <v>32</v>
      </c>
      <c r="O121" s="135" t="s">
        <v>69</v>
      </c>
      <c r="P121" s="153" t="s">
        <v>72</v>
      </c>
      <c r="Q121" s="153" t="s">
        <v>103</v>
      </c>
      <c r="R121" s="183" t="s">
        <v>77</v>
      </c>
      <c r="S121" s="209" t="s">
        <v>105</v>
      </c>
      <c r="T121" s="210" t="s">
        <v>106</v>
      </c>
      <c r="U121" s="178" t="s">
        <v>98</v>
      </c>
      <c r="V121" s="153" t="s">
        <v>100</v>
      </c>
      <c r="W121" s="153" t="s">
        <v>33</v>
      </c>
      <c r="X121" s="153" t="s">
        <v>69</v>
      </c>
      <c r="Y121" s="153"/>
      <c r="Z121" s="153"/>
      <c r="AA121" s="217"/>
      <c r="AB121" s="153" t="s">
        <v>72</v>
      </c>
      <c r="AC121" s="153" t="s">
        <v>104</v>
      </c>
      <c r="AD121" s="153"/>
      <c r="AE121" s="183" t="s">
        <v>77</v>
      </c>
      <c r="AF121" s="209" t="s">
        <v>105</v>
      </c>
      <c r="AG121" s="210" t="s">
        <v>106</v>
      </c>
      <c r="AH121" s="178" t="s">
        <v>98</v>
      </c>
      <c r="AI121" s="153" t="s">
        <v>100</v>
      </c>
      <c r="AJ121" s="153" t="s">
        <v>34</v>
      </c>
      <c r="AK121" s="153" t="s">
        <v>69</v>
      </c>
      <c r="AL121" s="217"/>
      <c r="AM121" s="153" t="s">
        <v>72</v>
      </c>
      <c r="AN121" s="153" t="s">
        <v>104</v>
      </c>
      <c r="AO121" s="153"/>
      <c r="AP121" s="183" t="s">
        <v>77</v>
      </c>
      <c r="AQ121" s="209" t="s">
        <v>105</v>
      </c>
      <c r="AR121" s="210" t="s">
        <v>106</v>
      </c>
      <c r="AS121" s="178" t="s">
        <v>98</v>
      </c>
      <c r="AT121" s="153" t="s">
        <v>100</v>
      </c>
      <c r="AU121" s="153" t="s">
        <v>34</v>
      </c>
      <c r="AV121" s="153" t="s">
        <v>69</v>
      </c>
      <c r="AW121" s="178"/>
      <c r="AX121" s="153" t="s">
        <v>72</v>
      </c>
      <c r="AY121" s="153" t="s">
        <v>104</v>
      </c>
      <c r="AZ121" s="153"/>
      <c r="BA121" s="183" t="s">
        <v>77</v>
      </c>
      <c r="BB121" s="209" t="s">
        <v>105</v>
      </c>
      <c r="BC121" s="210" t="s">
        <v>106</v>
      </c>
      <c r="BD121" s="178" t="s">
        <v>98</v>
      </c>
      <c r="BE121" s="153" t="s">
        <v>100</v>
      </c>
      <c r="BF121" s="153" t="s">
        <v>34</v>
      </c>
      <c r="BG121" s="153" t="s">
        <v>69</v>
      </c>
      <c r="BH121" s="178"/>
      <c r="BI121" s="178"/>
      <c r="BJ121" s="178"/>
      <c r="BK121" s="227"/>
      <c r="BL121" s="12"/>
      <c r="BM121" s="227"/>
      <c r="BN121" s="275"/>
      <c r="BO121" s="12"/>
    </row>
    <row r="122" spans="1:67" x14ac:dyDescent="0.25">
      <c r="A122" s="296"/>
      <c r="B122" s="116"/>
      <c r="C122" s="115"/>
      <c r="D122" s="178"/>
      <c r="E122" s="211">
        <f>E120</f>
        <v>0</v>
      </c>
      <c r="F122" s="190">
        <f>IF($D$4=2024,1,0)</f>
        <v>1</v>
      </c>
      <c r="G122" s="178">
        <f>IF($B115="Yes",$C$5,$I115)</f>
        <v>12</v>
      </c>
      <c r="H122" s="191">
        <f>H111</f>
        <v>3</v>
      </c>
      <c r="I122" s="212">
        <f>VLOOKUP(J111,'Lookup Tables'!$AB$22:$AC$31,2,FALSE)</f>
        <v>32</v>
      </c>
      <c r="J122" s="213">
        <f>VLOOKUP(U111,'Lookup Tables'!$AB$32:$AC$41,2,FALSE)</f>
        <v>33</v>
      </c>
      <c r="K122" s="203">
        <f>E122-J122</f>
        <v>-33</v>
      </c>
      <c r="L122" s="178">
        <f>IF(K122&gt;0,1,0)</f>
        <v>0</v>
      </c>
      <c r="M122" s="195">
        <f>M111</f>
        <v>0</v>
      </c>
      <c r="N122" s="196">
        <f>((((('Rate Tables'!D24*9)*0.02778)/5)*K122)*L122)*F122*M122</f>
        <v>0</v>
      </c>
      <c r="O122" s="215">
        <f>O111</f>
        <v>12</v>
      </c>
      <c r="P122" s="197">
        <f>IF(O122&lt;0,O122*0,1)*O122</f>
        <v>12</v>
      </c>
      <c r="Q122" s="203">
        <f>(E122-K122*F122*L122*M122)</f>
        <v>0</v>
      </c>
      <c r="R122" s="191">
        <f>S111</f>
        <v>3</v>
      </c>
      <c r="S122" s="212">
        <f>VLOOKUP(U111,'Lookup Tables'!$AB$22:$AC$31,2,FALSE)</f>
        <v>32</v>
      </c>
      <c r="T122" s="213">
        <f>VLOOKUP(AF111,'Lookup Tables'!$AB$32:$AC$41,2,FALSE)</f>
        <v>33</v>
      </c>
      <c r="U122" s="206">
        <f>Q122-T122</f>
        <v>-33</v>
      </c>
      <c r="V122" s="178">
        <f>IF(U122&gt;0,1,0)</f>
        <v>0</v>
      </c>
      <c r="W122" s="196">
        <f>((('Rate Tables'!E24*9)*0.02778)/5)*U122*F122*V122</f>
        <v>0</v>
      </c>
      <c r="X122" s="197">
        <f>AA111</f>
        <v>2</v>
      </c>
      <c r="Y122" s="178"/>
      <c r="Z122" s="195"/>
      <c r="AA122" s="217"/>
      <c r="AB122" s="197">
        <f>IF(X122&lt;0,X122*0,1)*X122</f>
        <v>2</v>
      </c>
      <c r="AC122" s="203">
        <f>Q122-(U122*V122)</f>
        <v>0</v>
      </c>
      <c r="AD122" s="178"/>
      <c r="AE122" s="191">
        <f>AE111</f>
        <v>1</v>
      </c>
      <c r="AF122" s="212">
        <f>VLOOKUP(AF111,'Lookup Tables'!$AB$22:$AC$31,2,FALSE)</f>
        <v>32</v>
      </c>
      <c r="AG122" s="213">
        <f>VLOOKUP(AQ111,'Lookup Tables'!$AB$32:$AC$41,2,FALSE)</f>
        <v>0</v>
      </c>
      <c r="AH122" s="208">
        <f>AC122-AG122</f>
        <v>0</v>
      </c>
      <c r="AI122" s="178">
        <f>IF(AH122&gt;0,1,0)</f>
        <v>0</v>
      </c>
      <c r="AJ122" s="196">
        <f>((('Rate Tables'!F24*9)*0.02778)/5)*AH122*AI122*F122</f>
        <v>0</v>
      </c>
      <c r="AK122" s="197">
        <f>AL111</f>
        <v>0</v>
      </c>
      <c r="AL122" s="217"/>
      <c r="AM122" s="197">
        <f>IF(AK122&lt;0,AK122*0,1)*AK122</f>
        <v>0</v>
      </c>
      <c r="AN122" s="203">
        <f>AC122-(AH122*AI122)</f>
        <v>0</v>
      </c>
      <c r="AO122" s="178"/>
      <c r="AP122" s="191">
        <f>AP111</f>
        <v>3</v>
      </c>
      <c r="AQ122" s="212">
        <f>VLOOKUP(AQ111,'Lookup Tables'!$AB$22:$AC$31,2,FALSE)</f>
        <v>0</v>
      </c>
      <c r="AR122" s="213">
        <f>VLOOKUP(BB111,'Lookup Tables'!$AB$32:$AC$41,2,FALSE)</f>
        <v>0</v>
      </c>
      <c r="AS122" s="208">
        <f>AN122-AR122</f>
        <v>0</v>
      </c>
      <c r="AT122" s="178">
        <f>IF(AS122&gt;0,1,0)</f>
        <v>0</v>
      </c>
      <c r="AU122" s="196">
        <f>((('Rate Tables'!G24*9)*0.02778)/5)*AS122*AT122*F122</f>
        <v>0</v>
      </c>
      <c r="AV122" s="197">
        <f>AW111</f>
        <v>0</v>
      </c>
      <c r="AW122" s="178"/>
      <c r="AX122" s="197">
        <f>IF(AV122&lt;0,AV122*0,1)*AV122</f>
        <v>0</v>
      </c>
      <c r="AY122" s="203">
        <f>AN122-(AS122*AT122)</f>
        <v>0</v>
      </c>
      <c r="AZ122" s="178"/>
      <c r="BA122" s="191">
        <f>BA111</f>
        <v>3</v>
      </c>
      <c r="BB122" s="212">
        <f>VLOOKUP(BB111,'Lookup Tables'!$AB$22:$AC$31,2,FALSE)</f>
        <v>0</v>
      </c>
      <c r="BC122" s="213">
        <v>0</v>
      </c>
      <c r="BD122" s="208">
        <f>AY122-BC122</f>
        <v>0</v>
      </c>
      <c r="BE122" s="178">
        <f>IF(BD122&gt;0,1,0)</f>
        <v>0</v>
      </c>
      <c r="BF122" s="196">
        <f>((('Rate Tables'!H24*9)*0.02778)/5)*BD122*BE122*F122</f>
        <v>0</v>
      </c>
      <c r="BG122" s="197">
        <f>BH111</f>
        <v>0</v>
      </c>
      <c r="BH122" s="178"/>
      <c r="BI122" s="178"/>
      <c r="BJ122" s="178"/>
      <c r="BK122" s="227"/>
      <c r="BL122" s="12"/>
      <c r="BM122" s="227"/>
      <c r="BN122" s="275"/>
      <c r="BO122" s="12"/>
    </row>
    <row r="123" spans="1:67" x14ac:dyDescent="0.25">
      <c r="A123" s="296"/>
      <c r="B123" s="116"/>
      <c r="C123" s="819" t="s">
        <v>732</v>
      </c>
      <c r="D123" s="178"/>
      <c r="E123" s="153" t="s">
        <v>84</v>
      </c>
      <c r="F123" s="153" t="s">
        <v>42</v>
      </c>
      <c r="G123" s="153" t="s">
        <v>41</v>
      </c>
      <c r="H123" s="183" t="s">
        <v>77</v>
      </c>
      <c r="I123" s="209" t="s">
        <v>105</v>
      </c>
      <c r="J123" s="210" t="s">
        <v>106</v>
      </c>
      <c r="K123" s="153" t="s">
        <v>99</v>
      </c>
      <c r="L123" s="153" t="s">
        <v>100</v>
      </c>
      <c r="M123" s="153" t="s">
        <v>82</v>
      </c>
      <c r="N123" s="153" t="s">
        <v>32</v>
      </c>
      <c r="O123" s="135" t="s">
        <v>69</v>
      </c>
      <c r="P123" s="153" t="s">
        <v>72</v>
      </c>
      <c r="Q123" s="153" t="s">
        <v>103</v>
      </c>
      <c r="R123" s="183" t="s">
        <v>77</v>
      </c>
      <c r="S123" s="209" t="s">
        <v>105</v>
      </c>
      <c r="T123" s="210" t="s">
        <v>106</v>
      </c>
      <c r="U123" s="178" t="s">
        <v>98</v>
      </c>
      <c r="V123" s="153" t="s">
        <v>100</v>
      </c>
      <c r="W123" s="153" t="s">
        <v>33</v>
      </c>
      <c r="X123" s="153" t="s">
        <v>69</v>
      </c>
      <c r="Y123" s="153"/>
      <c r="Z123" s="153"/>
      <c r="AA123" s="217"/>
      <c r="AB123" s="153" t="s">
        <v>72</v>
      </c>
      <c r="AC123" s="153" t="s">
        <v>104</v>
      </c>
      <c r="AD123" s="153"/>
      <c r="AE123" s="183" t="s">
        <v>77</v>
      </c>
      <c r="AF123" s="209" t="s">
        <v>105</v>
      </c>
      <c r="AG123" s="210" t="s">
        <v>106</v>
      </c>
      <c r="AH123" s="178" t="s">
        <v>98</v>
      </c>
      <c r="AI123" s="153" t="s">
        <v>100</v>
      </c>
      <c r="AJ123" s="153" t="s">
        <v>34</v>
      </c>
      <c r="AK123" s="153" t="s">
        <v>69</v>
      </c>
      <c r="AL123" s="217"/>
      <c r="AM123" s="153" t="s">
        <v>72</v>
      </c>
      <c r="AN123" s="153" t="s">
        <v>104</v>
      </c>
      <c r="AO123" s="153"/>
      <c r="AP123" s="183" t="s">
        <v>77</v>
      </c>
      <c r="AQ123" s="209" t="s">
        <v>105</v>
      </c>
      <c r="AR123" s="210" t="s">
        <v>106</v>
      </c>
      <c r="AS123" s="178" t="s">
        <v>98</v>
      </c>
      <c r="AT123" s="153" t="s">
        <v>100</v>
      </c>
      <c r="AU123" s="153" t="s">
        <v>34</v>
      </c>
      <c r="AV123" s="153" t="s">
        <v>69</v>
      </c>
      <c r="AW123" s="178"/>
      <c r="AX123" s="153" t="s">
        <v>72</v>
      </c>
      <c r="AY123" s="153" t="s">
        <v>104</v>
      </c>
      <c r="AZ123" s="153"/>
      <c r="BA123" s="183" t="s">
        <v>77</v>
      </c>
      <c r="BB123" s="209" t="s">
        <v>105</v>
      </c>
      <c r="BC123" s="210" t="s">
        <v>106</v>
      </c>
      <c r="BD123" s="178" t="s">
        <v>98</v>
      </c>
      <c r="BE123" s="153" t="s">
        <v>100</v>
      </c>
      <c r="BF123" s="153" t="s">
        <v>34</v>
      </c>
      <c r="BG123" s="153" t="s">
        <v>69</v>
      </c>
      <c r="BH123" s="178"/>
      <c r="BI123" s="178"/>
      <c r="BJ123" s="178"/>
      <c r="BK123" s="227"/>
      <c r="BL123" s="12"/>
      <c r="BM123" s="227"/>
      <c r="BN123" s="275"/>
      <c r="BO123" s="12"/>
    </row>
    <row r="124" spans="1:67" x14ac:dyDescent="0.25">
      <c r="A124" s="296"/>
      <c r="B124" s="116"/>
      <c r="C124" s="115"/>
      <c r="D124" s="178"/>
      <c r="E124" s="211">
        <f>E122</f>
        <v>0</v>
      </c>
      <c r="F124" s="190">
        <f>IF($D$4=2025,1,0)</f>
        <v>0</v>
      </c>
      <c r="G124" s="178">
        <f>IF($B115="Yes",$C$5,$I115)</f>
        <v>12</v>
      </c>
      <c r="H124" s="191">
        <f>H113</f>
        <v>3</v>
      </c>
      <c r="I124" s="212">
        <f>VLOOKUP(J113,'Lookup Tables'!$AB$22:$AC$31,2,FALSE)</f>
        <v>32</v>
      </c>
      <c r="J124" s="213">
        <f>VLOOKUP(U113,'Lookup Tables'!$AB$32:$AC$41,2,FALSE)</f>
        <v>33</v>
      </c>
      <c r="K124" s="203">
        <f>E124-J124</f>
        <v>-33</v>
      </c>
      <c r="L124" s="178">
        <f>IF(K124&gt;0,1,0)</f>
        <v>0</v>
      </c>
      <c r="M124" s="195">
        <f>M113</f>
        <v>0</v>
      </c>
      <c r="N124" s="196">
        <f>((((('Rate Tables'!E24*9)*0.02778)/5)*K124)*L124)*F124*M124</f>
        <v>0</v>
      </c>
      <c r="O124" s="215">
        <f>O113</f>
        <v>12</v>
      </c>
      <c r="P124" s="197">
        <f>IF(O124&lt;0,O124*0,1)*O124</f>
        <v>12</v>
      </c>
      <c r="Q124" s="203">
        <f>(E124-K124*F124*L124*M124)</f>
        <v>0</v>
      </c>
      <c r="R124" s="191">
        <f>S113</f>
        <v>3</v>
      </c>
      <c r="S124" s="212">
        <f>VLOOKUP(U113,'Lookup Tables'!$AB$22:$AC$31,2,FALSE)</f>
        <v>32</v>
      </c>
      <c r="T124" s="213">
        <f>VLOOKUP(AF113,'Lookup Tables'!$AB$32:$AC$41,2,FALSE)</f>
        <v>33</v>
      </c>
      <c r="U124" s="206">
        <f>Q124-T124</f>
        <v>-33</v>
      </c>
      <c r="V124" s="178">
        <f>IF(U124&gt;0,1,0)</f>
        <v>0</v>
      </c>
      <c r="W124" s="196">
        <f>((('Rate Tables'!F24*9)*0.02778)/5)*U124*F124*V124</f>
        <v>0</v>
      </c>
      <c r="X124" s="197">
        <f>AA113</f>
        <v>2</v>
      </c>
      <c r="Y124" s="178"/>
      <c r="Z124" s="195"/>
      <c r="AA124" s="217"/>
      <c r="AB124" s="197">
        <f>IF(X124&lt;0,X124*0,1)*X124</f>
        <v>2</v>
      </c>
      <c r="AC124" s="203">
        <f>Q124-(U124*V124)</f>
        <v>0</v>
      </c>
      <c r="AD124" s="178"/>
      <c r="AE124" s="191">
        <f>AE113</f>
        <v>1</v>
      </c>
      <c r="AF124" s="212">
        <f>VLOOKUP(AF113,'Lookup Tables'!$AB$22:$AC$31,2,FALSE)</f>
        <v>32</v>
      </c>
      <c r="AG124" s="213">
        <f>VLOOKUP(AQ113,'Lookup Tables'!$AB$32:$AC$41,2,FALSE)</f>
        <v>0</v>
      </c>
      <c r="AH124" s="208">
        <f>AC124-AG124</f>
        <v>0</v>
      </c>
      <c r="AI124" s="178">
        <f>IF(AH124&gt;0,1,0)</f>
        <v>0</v>
      </c>
      <c r="AJ124" s="196">
        <f>((('Rate Tables'!G24*9)*0.02778)/5)*AH124*AI124*F124</f>
        <v>0</v>
      </c>
      <c r="AK124" s="197">
        <f>AL113</f>
        <v>0</v>
      </c>
      <c r="AL124" s="217"/>
      <c r="AM124" s="197">
        <f>IF(AK124&lt;0,AK124*0,1)*AK124</f>
        <v>0</v>
      </c>
      <c r="AN124" s="203">
        <f>AC124-(AH124*AI124)</f>
        <v>0</v>
      </c>
      <c r="AO124" s="178"/>
      <c r="AP124" s="191">
        <f>AP113</f>
        <v>3</v>
      </c>
      <c r="AQ124" s="212">
        <f>VLOOKUP(AQ113,'Lookup Tables'!$AB$22:$AC$31,2,FALSE)</f>
        <v>0</v>
      </c>
      <c r="AR124" s="213">
        <f>VLOOKUP(BB113,'Lookup Tables'!$AB$32:$AC$41,2,FALSE)</f>
        <v>0</v>
      </c>
      <c r="AS124" s="208">
        <f>AN124-AR124</f>
        <v>0</v>
      </c>
      <c r="AT124" s="178">
        <f>IF(AS124&gt;0,1,0)</f>
        <v>0</v>
      </c>
      <c r="AU124" s="196">
        <f>((('Rate Tables'!H24*9)*0.02778)/5)*AS124*AT124*F124</f>
        <v>0</v>
      </c>
      <c r="AV124" s="197">
        <f>AW113</f>
        <v>0</v>
      </c>
      <c r="AW124" s="178"/>
      <c r="AX124" s="197">
        <f>IF(AV124&lt;0,AV124*0,1)*AV124</f>
        <v>0</v>
      </c>
      <c r="AY124" s="203">
        <f>AN124-(AS124*AT124)</f>
        <v>0</v>
      </c>
      <c r="AZ124" s="178"/>
      <c r="BA124" s="191">
        <f>BA113</f>
        <v>3</v>
      </c>
      <c r="BB124" s="212">
        <f>VLOOKUP(BB113,'Lookup Tables'!$AB$22:$AC$31,2,FALSE)</f>
        <v>0</v>
      </c>
      <c r="BC124" s="213">
        <v>0</v>
      </c>
      <c r="BD124" s="208">
        <f>AY124-BC124</f>
        <v>0</v>
      </c>
      <c r="BE124" s="178">
        <f>IF(BD124&gt;0,1,0)</f>
        <v>0</v>
      </c>
      <c r="BF124" s="196">
        <f>((('Rate Tables'!I24*9)*0.02778)/5)*BD124*BE124*F124</f>
        <v>0</v>
      </c>
      <c r="BG124" s="197">
        <f>BH113</f>
        <v>0</v>
      </c>
      <c r="BH124" s="178"/>
      <c r="BI124" s="178"/>
      <c r="BJ124" s="178"/>
      <c r="BK124" s="227"/>
      <c r="BL124" s="12"/>
      <c r="BM124" s="227"/>
      <c r="BN124" s="275"/>
      <c r="BO124" s="12"/>
    </row>
    <row r="125" spans="1:67" ht="15.75" thickBot="1" x14ac:dyDescent="0.3">
      <c r="A125" s="296"/>
      <c r="B125" s="116"/>
      <c r="C125" s="114"/>
      <c r="D125" s="178"/>
      <c r="E125" s="178"/>
      <c r="F125" s="178"/>
      <c r="G125" s="749" t="s">
        <v>559</v>
      </c>
      <c r="H125" s="206">
        <f>BK118</f>
        <v>0</v>
      </c>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c r="BC125" s="178"/>
      <c r="BD125" s="178"/>
      <c r="BE125" s="178"/>
      <c r="BF125" s="178"/>
      <c r="BG125" s="178"/>
      <c r="BH125" s="178"/>
      <c r="BI125" s="178"/>
      <c r="BJ125" s="178"/>
      <c r="BK125" s="307"/>
      <c r="BL125" s="12"/>
      <c r="BM125" s="227" t="s">
        <v>453</v>
      </c>
      <c r="BN125" s="275">
        <f>IF(BN120=0,0,BN119)</f>
        <v>0.2697</v>
      </c>
      <c r="BO125" s="12">
        <f>(BN116+BN126)*BO119</f>
        <v>0</v>
      </c>
    </row>
    <row r="126" spans="1:67" ht="15.75" thickBot="1" x14ac:dyDescent="0.3">
      <c r="A126" s="380">
        <f>Personnel!U34</f>
        <v>0</v>
      </c>
      <c r="B126" s="273">
        <f>Personnel!U41</f>
        <v>0</v>
      </c>
      <c r="C126" s="114"/>
      <c r="D126" s="178"/>
      <c r="E126" s="178"/>
      <c r="F126" s="178"/>
      <c r="G126" s="749" t="s">
        <v>560</v>
      </c>
      <c r="H126" s="178">
        <f>VLOOKUP(H118,'Lookup Tables'!$L$62:$Y$74,MATCH(G118,'Lookup Tables'!$L$62:$Y$62,FALSE))</f>
        <v>65</v>
      </c>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c r="BG126" s="178"/>
      <c r="BH126" s="178"/>
      <c r="BI126" s="178"/>
      <c r="BJ126" s="178"/>
      <c r="BK126" s="309"/>
      <c r="BL126" s="274"/>
      <c r="BM126" s="278" t="s">
        <v>415</v>
      </c>
      <c r="BN126" s="279">
        <f>BN116*BN125</f>
        <v>0</v>
      </c>
      <c r="BO126" s="373">
        <f>BN116+BN126+BO125</f>
        <v>0</v>
      </c>
    </row>
    <row r="127" spans="1:67" x14ac:dyDescent="0.25">
      <c r="A127" s="11"/>
      <c r="B127" s="11"/>
      <c r="C127" s="114"/>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78"/>
      <c r="BJ127" s="178"/>
      <c r="BK127" s="227"/>
      <c r="BL127" s="12"/>
      <c r="BM127" s="12"/>
      <c r="BN127" s="275"/>
      <c r="BO127" s="391"/>
    </row>
    <row r="128" spans="1:67" ht="15.75" thickBot="1" x14ac:dyDescent="0.3">
      <c r="A128" s="393"/>
      <c r="B128" s="295"/>
      <c r="C128" s="291"/>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c r="BI128" s="149"/>
      <c r="BJ128" s="149"/>
      <c r="BK128" s="280"/>
      <c r="BL128" s="149"/>
      <c r="BM128" s="149"/>
      <c r="BN128" s="149"/>
      <c r="BO128" s="149"/>
    </row>
    <row r="129" spans="1:67" ht="19.5" thickBot="1" x14ac:dyDescent="0.35">
      <c r="A129" s="394" t="s">
        <v>333</v>
      </c>
      <c r="B129" s="395"/>
      <c r="C129" s="395"/>
      <c r="D129" s="395"/>
      <c r="E129" s="395"/>
      <c r="F129" s="395"/>
      <c r="G129" s="395"/>
      <c r="H129" s="395"/>
      <c r="I129" s="395"/>
      <c r="J129" s="395"/>
      <c r="K129" s="395"/>
      <c r="L129" s="395"/>
      <c r="M129" s="395"/>
      <c r="N129" s="395"/>
      <c r="O129" s="395"/>
      <c r="P129" s="395"/>
      <c r="Q129" s="395"/>
      <c r="R129" s="395"/>
      <c r="S129" s="395"/>
      <c r="T129" s="395"/>
      <c r="U129" s="395"/>
      <c r="V129" s="395"/>
      <c r="W129" s="395"/>
      <c r="X129" s="395"/>
      <c r="Y129" s="395"/>
      <c r="Z129" s="607"/>
      <c r="AA129" s="607"/>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95"/>
      <c r="AX129" s="395"/>
      <c r="AY129" s="395"/>
      <c r="AZ129" s="395"/>
      <c r="BA129" s="395"/>
      <c r="BB129" s="395"/>
      <c r="BC129" s="395"/>
      <c r="BD129" s="395"/>
      <c r="BE129" s="395"/>
      <c r="BF129" s="395"/>
      <c r="BG129" s="395"/>
      <c r="BH129" s="395"/>
      <c r="BI129" s="395"/>
      <c r="BJ129" s="395"/>
      <c r="BK129" s="396"/>
      <c r="BL129" s="395"/>
      <c r="BM129" s="395"/>
      <c r="BN129" s="395"/>
      <c r="BO129" s="392"/>
    </row>
    <row r="130" spans="1:67" ht="26.25" x14ac:dyDescent="0.25">
      <c r="A130" s="298" t="s">
        <v>174</v>
      </c>
      <c r="B130" s="294" t="s">
        <v>59</v>
      </c>
      <c r="C130" s="180" t="s">
        <v>606</v>
      </c>
      <c r="D130" s="179"/>
      <c r="E130" s="218"/>
      <c r="F130" s="218"/>
      <c r="G130" s="181"/>
      <c r="H130" s="181"/>
      <c r="I130" s="181"/>
      <c r="J130" s="181"/>
      <c r="K130" s="181"/>
      <c r="L130" s="181"/>
      <c r="M130" s="181"/>
      <c r="N130" s="679">
        <v>44013</v>
      </c>
      <c r="O130" s="696">
        <v>44377</v>
      </c>
      <c r="P130" s="181"/>
      <c r="Q130" s="181"/>
      <c r="R130" s="181"/>
      <c r="S130" s="181"/>
      <c r="T130" s="181"/>
      <c r="U130" s="181"/>
      <c r="V130" s="181"/>
      <c r="W130" s="181"/>
      <c r="X130" s="181"/>
      <c r="Y130" s="181"/>
      <c r="Z130" s="493">
        <v>44378</v>
      </c>
      <c r="AA130" s="696">
        <v>44742</v>
      </c>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c r="BK130" s="282"/>
      <c r="BL130" s="144"/>
      <c r="BM130" s="144"/>
      <c r="BN130" s="283"/>
      <c r="BO130" s="12"/>
    </row>
    <row r="131" spans="1:67" x14ac:dyDescent="0.25">
      <c r="A131" s="345">
        <f>Personnel!C40</f>
        <v>0</v>
      </c>
      <c r="B131" s="346" t="str">
        <f>Personnel!C39</f>
        <v>Prof/Admin</v>
      </c>
      <c r="C131" s="347">
        <f>Personnel!C41</f>
        <v>0</v>
      </c>
      <c r="D131" s="188"/>
      <c r="E131" s="205"/>
      <c r="F131" s="205"/>
      <c r="G131" s="178"/>
      <c r="H131" s="178"/>
      <c r="I131" s="178"/>
      <c r="J131" s="178"/>
      <c r="K131" s="178"/>
      <c r="L131" s="178"/>
      <c r="M131" s="178"/>
      <c r="N131" s="178"/>
      <c r="O131" s="217"/>
      <c r="P131" s="178"/>
      <c r="Q131" s="178"/>
      <c r="R131" s="178"/>
      <c r="S131" s="178"/>
      <c r="T131" s="178"/>
      <c r="U131" s="178"/>
      <c r="V131" s="178"/>
      <c r="W131" s="178"/>
      <c r="X131" s="178"/>
      <c r="Y131" s="178"/>
      <c r="Z131" s="178"/>
      <c r="AA131" s="217"/>
      <c r="AB131" s="178"/>
      <c r="AC131" s="178"/>
      <c r="AD131" s="178"/>
      <c r="AE131" s="178"/>
      <c r="AF131" s="178"/>
      <c r="AG131" s="178"/>
      <c r="AH131" s="178"/>
      <c r="AI131" s="178"/>
      <c r="AJ131" s="178"/>
      <c r="AK131" s="493">
        <v>44743</v>
      </c>
      <c r="AL131" s="698">
        <v>45107</v>
      </c>
      <c r="AM131" s="178"/>
      <c r="AN131" s="178"/>
      <c r="AO131" s="178"/>
      <c r="AP131" s="178"/>
      <c r="AQ131" s="178"/>
      <c r="AR131" s="178"/>
      <c r="AS131" s="178"/>
      <c r="AT131" s="493">
        <v>45108</v>
      </c>
      <c r="AU131" s="493">
        <v>45473</v>
      </c>
      <c r="AV131" s="178"/>
      <c r="AW131" s="178"/>
      <c r="AX131" s="178"/>
      <c r="AY131" s="178"/>
      <c r="AZ131" s="178"/>
      <c r="BA131" s="178"/>
      <c r="BB131" s="178"/>
      <c r="BC131" s="178"/>
      <c r="BD131" s="178"/>
      <c r="BE131" s="493">
        <v>45474</v>
      </c>
      <c r="BF131" s="493">
        <v>45838</v>
      </c>
      <c r="BG131" s="178"/>
      <c r="BJ131" s="178"/>
      <c r="BK131" s="278" t="s">
        <v>171</v>
      </c>
      <c r="BL131" s="348">
        <f>Personnel!W39</f>
        <v>0.1</v>
      </c>
      <c r="BM131" s="278" t="s">
        <v>96</v>
      </c>
      <c r="BN131" s="279">
        <f>(M133+W133+AI133+AT133+BE133+M135+W135+AI135+AT135+BE135+M137+W137+AI137+AT137+BE137+M139+W139+AI139+AT139+BE139)*BL134</f>
        <v>0</v>
      </c>
      <c r="BO131" s="369"/>
    </row>
    <row r="132" spans="1:67" x14ac:dyDescent="0.25">
      <c r="A132" s="296"/>
      <c r="B132" s="12"/>
      <c r="C132" s="117" t="s">
        <v>30</v>
      </c>
      <c r="D132" s="182"/>
      <c r="E132" s="153"/>
      <c r="F132" s="153" t="s">
        <v>42</v>
      </c>
      <c r="G132" s="153" t="s">
        <v>598</v>
      </c>
      <c r="H132" s="183" t="s">
        <v>77</v>
      </c>
      <c r="I132" s="219" t="s">
        <v>51</v>
      </c>
      <c r="J132" s="153" t="s">
        <v>52</v>
      </c>
      <c r="K132" s="153" t="s">
        <v>35</v>
      </c>
      <c r="L132" s="153" t="s">
        <v>82</v>
      </c>
      <c r="M132" s="153" t="s">
        <v>31</v>
      </c>
      <c r="N132" s="153" t="s">
        <v>69</v>
      </c>
      <c r="O132" s="217"/>
      <c r="P132" s="153" t="s">
        <v>72</v>
      </c>
      <c r="Q132" s="183" t="s">
        <v>80</v>
      </c>
      <c r="R132" s="187" t="s">
        <v>81</v>
      </c>
      <c r="S132" s="183" t="s">
        <v>77</v>
      </c>
      <c r="T132" s="673" t="s">
        <v>107</v>
      </c>
      <c r="U132" s="153" t="s">
        <v>53</v>
      </c>
      <c r="V132" s="153" t="s">
        <v>82</v>
      </c>
      <c r="W132" s="153" t="s">
        <v>32</v>
      </c>
      <c r="X132" s="153" t="s">
        <v>69</v>
      </c>
      <c r="Y132" s="178"/>
      <c r="Z132" s="178"/>
      <c r="AA132" s="217"/>
      <c r="AB132" s="153" t="s">
        <v>72</v>
      </c>
      <c r="AC132" s="153" t="s">
        <v>80</v>
      </c>
      <c r="AD132" s="187" t="s">
        <v>81</v>
      </c>
      <c r="AE132" s="183" t="s">
        <v>77</v>
      </c>
      <c r="AF132" s="220" t="s">
        <v>107</v>
      </c>
      <c r="AG132" s="153" t="s">
        <v>78</v>
      </c>
      <c r="AH132" s="153" t="s">
        <v>82</v>
      </c>
      <c r="AI132" s="153" t="s">
        <v>33</v>
      </c>
      <c r="AJ132" s="153" t="s">
        <v>69</v>
      </c>
      <c r="AK132" s="178"/>
      <c r="AL132" s="217"/>
      <c r="AM132" s="153" t="s">
        <v>72</v>
      </c>
      <c r="AN132" s="153" t="s">
        <v>80</v>
      </c>
      <c r="AO132" s="187" t="s">
        <v>81</v>
      </c>
      <c r="AP132" s="183" t="s">
        <v>77</v>
      </c>
      <c r="AQ132" s="220" t="s">
        <v>107</v>
      </c>
      <c r="AR132" s="153" t="s">
        <v>78</v>
      </c>
      <c r="AS132" s="153" t="s">
        <v>82</v>
      </c>
      <c r="AT132" s="153" t="s">
        <v>33</v>
      </c>
      <c r="AU132" s="153" t="s">
        <v>69</v>
      </c>
      <c r="AV132" s="153"/>
      <c r="AW132" s="153"/>
      <c r="AX132" s="823" t="s">
        <v>72</v>
      </c>
      <c r="AY132" s="153" t="s">
        <v>80</v>
      </c>
      <c r="AZ132" s="187" t="s">
        <v>81</v>
      </c>
      <c r="BA132" s="183" t="s">
        <v>77</v>
      </c>
      <c r="BB132" s="220" t="s">
        <v>107</v>
      </c>
      <c r="BC132" s="153" t="s">
        <v>78</v>
      </c>
      <c r="BD132" s="153" t="s">
        <v>82</v>
      </c>
      <c r="BE132" s="153" t="s">
        <v>33</v>
      </c>
      <c r="BF132" s="153" t="s">
        <v>69</v>
      </c>
      <c r="BG132" s="153"/>
      <c r="BH132" s="153"/>
      <c r="BI132" s="153"/>
      <c r="BJ132" s="178"/>
      <c r="BK132" s="227"/>
      <c r="BL132" s="12"/>
      <c r="BM132" s="227"/>
      <c r="BN132" s="275"/>
      <c r="BO132" s="12" t="s">
        <v>418</v>
      </c>
    </row>
    <row r="133" spans="1:67" x14ac:dyDescent="0.25">
      <c r="A133" s="296"/>
      <c r="B133" s="12"/>
      <c r="C133" s="115"/>
      <c r="D133" s="188"/>
      <c r="E133" s="221">
        <f>BL$131</f>
        <v>0.1</v>
      </c>
      <c r="F133" s="190">
        <f>IF($D$4=2022,1,0)</f>
        <v>0</v>
      </c>
      <c r="G133" s="178">
        <f>IF($B140="Yes",$C$5,$I141)</f>
        <v>12</v>
      </c>
      <c r="H133" s="191">
        <f>VLOOKUP(H140,'Lookup Tables'!$A$22:$B$33,2,FALSE)</f>
        <v>3</v>
      </c>
      <c r="I133" s="192">
        <f>VLOOKUP($E$4,'Lookup Tables'!$AB$46:$AN$58,MATCH($H133,'Lookup Tables'!$AB$46:$AN$46),FALSE)</f>
        <v>12</v>
      </c>
      <c r="J133" s="190">
        <f>12-I133</f>
        <v>0</v>
      </c>
      <c r="K133" s="190">
        <f>IF(G133&lt;J133,G133,J133)</f>
        <v>0</v>
      </c>
      <c r="L133" s="195">
        <f>IF(12-I133&gt;=1,1,0)</f>
        <v>0</v>
      </c>
      <c r="M133" s="202">
        <f>((('Rate Tables'!$B29*$E133)*PersonCalcYr3!$K133)*L133)*$F133</f>
        <v>0</v>
      </c>
      <c r="N133" s="197">
        <f>G133-(J133*L133)</f>
        <v>12</v>
      </c>
      <c r="O133" s="217"/>
      <c r="P133" s="197">
        <f>IF(N133&lt;0,N133*0,1)*N133</f>
        <v>12</v>
      </c>
      <c r="Q133" s="198">
        <f>VLOOKUP(H140,'Lookup Tables'!$A$22:$B$33,2,FALSE)+(K133*L133)</f>
        <v>3</v>
      </c>
      <c r="R133" s="199" t="str">
        <f>VLOOKUP(Q133,'Lookup Tables'!$A$38:$B$151,2,FALSE)</f>
        <v>Sept</v>
      </c>
      <c r="S133" s="191">
        <f>VLOOKUP(R133,'Lookup Tables'!$A$22:$B$33,2,FALSE)</f>
        <v>3</v>
      </c>
      <c r="T133" s="672">
        <f>VLOOKUP($E$4,'Lookup Tables'!$AQ$46:$BC$58,MATCH(PersonCalcYr3!$S133,'Lookup Tables'!$AQ$46:$BC$46),FALSE)</f>
        <v>10</v>
      </c>
      <c r="U133" s="190">
        <f>IF(P133&lt;T133,P133,T133)</f>
        <v>10</v>
      </c>
      <c r="V133" s="195">
        <f>IF((U133)&lt;=0,0,1)</f>
        <v>1</v>
      </c>
      <c r="W133" s="202">
        <f>(('Rate Tables'!$C29*$E133)*PersonCalcYr3!$U133)*$V133*$F133</f>
        <v>0</v>
      </c>
      <c r="X133" s="197">
        <f>P133-(U133*V133)</f>
        <v>2</v>
      </c>
      <c r="Y133" s="178"/>
      <c r="Z133" s="178"/>
      <c r="AA133" s="217"/>
      <c r="AB133" s="197">
        <f>IF(X133&lt;0,X133*0,1)*X133</f>
        <v>2</v>
      </c>
      <c r="AC133" s="203">
        <f>S133+(U133*V133)</f>
        <v>13</v>
      </c>
      <c r="AD133" s="199" t="str">
        <f>VLOOKUP(AC133,'Lookup Tables'!$A$38:$B$151,2,FALSE)</f>
        <v>July</v>
      </c>
      <c r="AE133" s="191">
        <f>VLOOKUP(AD133,'Lookup Tables'!$A$22:$B$33,2,FALSE)</f>
        <v>1</v>
      </c>
      <c r="AF133" s="222">
        <f>VLOOKUP($AE133,'Lookup Tables'!$AC$3:$AW$16,MATCH(PersonCalcYr3!$AB133,'Lookup Tables'!$AC$3:$AW$3),FALSE)</f>
        <v>2</v>
      </c>
      <c r="AG133" s="190">
        <f>IF(AB133&lt;AF133,AB133,AF133)</f>
        <v>2</v>
      </c>
      <c r="AH133" s="195">
        <f>IF((AG133)&lt;=0,0,1)</f>
        <v>1</v>
      </c>
      <c r="AI133" s="202">
        <f>(('Rate Tables'!$D29*$E133)*PersonCalcYr3!AG133)*AH133*$F133</f>
        <v>0</v>
      </c>
      <c r="AJ133" s="197">
        <f>AB133-(AG133*AH133)</f>
        <v>0</v>
      </c>
      <c r="AK133" s="178"/>
      <c r="AL133" s="217"/>
      <c r="AM133" s="197">
        <f>IF(AJ133&lt;0,AJ133*0,1)*AJ133</f>
        <v>0</v>
      </c>
      <c r="AN133" s="203">
        <f>AE133+(AG133*AH133)</f>
        <v>3</v>
      </c>
      <c r="AO133" s="199" t="str">
        <f>VLOOKUP(AN133,'Lookup Tables'!$A$38:$B$151,2,FALSE)</f>
        <v>Sept</v>
      </c>
      <c r="AP133" s="191">
        <f>VLOOKUP(AO133,'Lookup Tables'!$A$22:$B$33,2,FALSE)</f>
        <v>3</v>
      </c>
      <c r="AQ133" s="222">
        <f>VLOOKUP($AP133,'Lookup Tables'!$AC$3:$AW$16,MATCH(PersonCalcYr3!$AM133,'Lookup Tables'!$AC$3:$AW$3),FALSE)</f>
        <v>0</v>
      </c>
      <c r="AR133" s="190">
        <f>IF(AM133&lt;AQ133,AM133,AQ133)</f>
        <v>0</v>
      </c>
      <c r="AS133" s="195">
        <f>IF((AR133)&lt;=0,0,1)</f>
        <v>0</v>
      </c>
      <c r="AT133" s="202">
        <f>(('Rate Tables'!$E29*$E133)*PersonCalcYr3!AR133)*AS133*$F133</f>
        <v>0</v>
      </c>
      <c r="AU133" s="197">
        <f>AM133-(AR133*AS133)</f>
        <v>0</v>
      </c>
      <c r="AV133" s="202"/>
      <c r="AW133" s="202"/>
      <c r="AX133" s="824">
        <f>IF(AU133&lt;0,AU133*0,1)*AU133</f>
        <v>0</v>
      </c>
      <c r="AY133" s="203">
        <f>AP133+(AR133*AS133)</f>
        <v>3</v>
      </c>
      <c r="AZ133" s="199" t="str">
        <f>VLOOKUP(AY133,'Lookup Tables'!$A$38:$B$151,2,FALSE)</f>
        <v>Sept</v>
      </c>
      <c r="BA133" s="191">
        <f>VLOOKUP(AZ133,'Lookup Tables'!$A$22:$B$33,2,FALSE)</f>
        <v>3</v>
      </c>
      <c r="BB133" s="222">
        <f>VLOOKUP($BA133,'Lookup Tables'!$AC$3:$AW$16,MATCH(PersonCalcYr3!$AX133,'Lookup Tables'!$AC$3:$AW$3),FALSE)</f>
        <v>0</v>
      </c>
      <c r="BC133" s="190">
        <f>IF(AX133&lt;BB133,AX133,BB133)</f>
        <v>0</v>
      </c>
      <c r="BD133" s="195">
        <f>IF((BC133)&lt;=0,0,1)</f>
        <v>0</v>
      </c>
      <c r="BE133" s="202">
        <f>(('Rate Tables'!$F29*$E133)*PersonCalcYr3!BC133)*BD133*$F133</f>
        <v>0</v>
      </c>
      <c r="BF133" s="197">
        <f>AX133-(BC133*BD133)</f>
        <v>0</v>
      </c>
      <c r="BG133" s="202"/>
      <c r="BH133" s="202"/>
      <c r="BI133" s="202"/>
      <c r="BJ133" s="178"/>
      <c r="BK133" s="227"/>
      <c r="BL133" s="12"/>
      <c r="BM133" s="227" t="s">
        <v>451</v>
      </c>
      <c r="BN133" s="275">
        <f>(VLOOKUP($B131,'Rate Tables'!$O$2:$P$8,2,FALSE))</f>
        <v>0.3226</v>
      </c>
      <c r="BO133" s="372">
        <f>VLOOKUP('F&amp;ARatesCalc'!$B$1,'F&amp;ARatesCalc'!$A$3:$B$5,2,FALSE)</f>
        <v>0.56999999999999995</v>
      </c>
    </row>
    <row r="134" spans="1:67" x14ac:dyDescent="0.25">
      <c r="A134" s="296"/>
      <c r="B134" s="12"/>
      <c r="C134" s="117" t="s">
        <v>597</v>
      </c>
      <c r="D134" s="182"/>
      <c r="E134" s="153"/>
      <c r="F134" s="153" t="s">
        <v>42</v>
      </c>
      <c r="G134" s="153" t="s">
        <v>598</v>
      </c>
      <c r="H134" s="183" t="s">
        <v>77</v>
      </c>
      <c r="I134" s="219" t="s">
        <v>599</v>
      </c>
      <c r="J134" s="153" t="s">
        <v>110</v>
      </c>
      <c r="K134" s="153" t="s">
        <v>53</v>
      </c>
      <c r="L134" s="153" t="s">
        <v>82</v>
      </c>
      <c r="M134" s="153" t="s">
        <v>32</v>
      </c>
      <c r="N134" s="153" t="s">
        <v>69</v>
      </c>
      <c r="O134" s="217"/>
      <c r="P134" s="153" t="s">
        <v>72</v>
      </c>
      <c r="Q134" s="183" t="s">
        <v>80</v>
      </c>
      <c r="R134" s="187" t="s">
        <v>81</v>
      </c>
      <c r="S134" s="183" t="s">
        <v>77</v>
      </c>
      <c r="T134" s="673" t="s">
        <v>107</v>
      </c>
      <c r="U134" s="153" t="s">
        <v>78</v>
      </c>
      <c r="V134" s="153" t="s">
        <v>82</v>
      </c>
      <c r="W134" s="153" t="s">
        <v>33</v>
      </c>
      <c r="X134" s="153" t="s">
        <v>69</v>
      </c>
      <c r="Y134" s="178"/>
      <c r="Z134" s="178"/>
      <c r="AA134" s="217"/>
      <c r="AB134" s="153" t="s">
        <v>72</v>
      </c>
      <c r="AC134" s="153" t="s">
        <v>80</v>
      </c>
      <c r="AD134" s="187" t="s">
        <v>81</v>
      </c>
      <c r="AE134" s="183" t="s">
        <v>77</v>
      </c>
      <c r="AF134" s="220" t="s">
        <v>107</v>
      </c>
      <c r="AG134" s="153" t="s">
        <v>79</v>
      </c>
      <c r="AH134" s="153" t="s">
        <v>82</v>
      </c>
      <c r="AI134" s="153" t="s">
        <v>34</v>
      </c>
      <c r="AJ134" s="153" t="s">
        <v>69</v>
      </c>
      <c r="AK134" s="178"/>
      <c r="AL134" s="217"/>
      <c r="AM134" s="153" t="s">
        <v>72</v>
      </c>
      <c r="AN134" s="153" t="s">
        <v>80</v>
      </c>
      <c r="AO134" s="187" t="s">
        <v>81</v>
      </c>
      <c r="AP134" s="183" t="s">
        <v>77</v>
      </c>
      <c r="AQ134" s="220" t="s">
        <v>107</v>
      </c>
      <c r="AR134" s="153" t="s">
        <v>79</v>
      </c>
      <c r="AS134" s="153" t="s">
        <v>82</v>
      </c>
      <c r="AT134" s="153" t="s">
        <v>34</v>
      </c>
      <c r="AU134" s="153" t="s">
        <v>69</v>
      </c>
      <c r="AV134" s="153"/>
      <c r="AW134" s="153"/>
      <c r="AX134" s="823" t="s">
        <v>72</v>
      </c>
      <c r="AY134" s="153" t="s">
        <v>80</v>
      </c>
      <c r="AZ134" s="187" t="s">
        <v>81</v>
      </c>
      <c r="BA134" s="183" t="s">
        <v>77</v>
      </c>
      <c r="BB134" s="220" t="s">
        <v>107</v>
      </c>
      <c r="BC134" s="153" t="s">
        <v>79</v>
      </c>
      <c r="BD134" s="153" t="s">
        <v>82</v>
      </c>
      <c r="BE134" s="153" t="s">
        <v>34</v>
      </c>
      <c r="BF134" s="153" t="s">
        <v>69</v>
      </c>
      <c r="BG134" s="153"/>
      <c r="BH134" s="153"/>
      <c r="BI134" s="153"/>
      <c r="BJ134" s="178"/>
      <c r="BK134" s="307" t="s">
        <v>450</v>
      </c>
      <c r="BL134" s="349">
        <f>IF(B131=0,0,1)</f>
        <v>1</v>
      </c>
      <c r="BM134" s="227" t="s">
        <v>452</v>
      </c>
      <c r="BN134" s="275">
        <f>_xlfn.IFNA(BN133,0)</f>
        <v>0.3226</v>
      </c>
      <c r="BO134" s="12" t="s">
        <v>417</v>
      </c>
    </row>
    <row r="135" spans="1:67" x14ac:dyDescent="0.25">
      <c r="A135" s="296"/>
      <c r="B135" s="12"/>
      <c r="C135" s="115"/>
      <c r="D135" s="188"/>
      <c r="E135" s="221">
        <f>BL$131</f>
        <v>0.1</v>
      </c>
      <c r="F135" s="190">
        <f>IF($D$4=2023,1,0)</f>
        <v>0</v>
      </c>
      <c r="G135" s="178">
        <f>IF($B140="Yes",$C$5,$I141)</f>
        <v>12</v>
      </c>
      <c r="H135" s="191">
        <f>VLOOKUP(H140,'Lookup Tables'!$A$22:$B$33,2,FALSE)</f>
        <v>3</v>
      </c>
      <c r="I135" s="192">
        <f>VLOOKUP($E$4,'Lookup Tables'!$AB$46:$AN$58,MATCH($H135,'Lookup Tables'!$AB$46:$AN$46),FALSE)</f>
        <v>12</v>
      </c>
      <c r="J135" s="190">
        <f>12-I135</f>
        <v>0</v>
      </c>
      <c r="K135" s="190">
        <f>IF(G135&lt;J135,G135,J135)</f>
        <v>0</v>
      </c>
      <c r="L135" s="195">
        <f>IF(12-I135&gt;=1,1,0)</f>
        <v>0</v>
      </c>
      <c r="M135" s="202">
        <f>((('Rate Tables'!$C29*$E135)*PersonCalcYr3!$K135)*L135)*$F135</f>
        <v>0</v>
      </c>
      <c r="N135" s="197">
        <f>G135-(J135*L135)</f>
        <v>12</v>
      </c>
      <c r="O135" s="217"/>
      <c r="P135" s="197">
        <f>IF(N135&lt;0,N135*0,1)*N135</f>
        <v>12</v>
      </c>
      <c r="Q135" s="198">
        <f>VLOOKUP(H140,'Lookup Tables'!$A$22:$B$33,2,FALSE)+(K135*L135)</f>
        <v>3</v>
      </c>
      <c r="R135" s="199" t="str">
        <f>VLOOKUP(Q135,'Lookup Tables'!$A$38:$B$151,2,FALSE)</f>
        <v>Sept</v>
      </c>
      <c r="S135" s="191">
        <f>VLOOKUP(R135,'Lookup Tables'!$A$22:$B$33,2,FALSE)</f>
        <v>3</v>
      </c>
      <c r="T135" s="672">
        <f>VLOOKUP($E$4,'Lookup Tables'!$AQ$46:$BC$58,MATCH(PersonCalcYr3!$S135,'Lookup Tables'!$AQ$46:$BC$46),FALSE)</f>
        <v>10</v>
      </c>
      <c r="U135" s="190">
        <f>IF(P135&lt;T135,P135,T135)</f>
        <v>10</v>
      </c>
      <c r="V135" s="195">
        <f>IF((U135)&lt;=0,0,1)</f>
        <v>1</v>
      </c>
      <c r="W135" s="202">
        <f>(('Rate Tables'!$D29*$E135)*PersonCalcYr3!$U135)*$V135*$F135</f>
        <v>0</v>
      </c>
      <c r="X135" s="197">
        <f>P135-(U135*V135)</f>
        <v>2</v>
      </c>
      <c r="Y135" s="178"/>
      <c r="Z135" s="178"/>
      <c r="AA135" s="217"/>
      <c r="AB135" s="197">
        <f>IF(X135&lt;0,X135*0,1)*X135</f>
        <v>2</v>
      </c>
      <c r="AC135" s="203">
        <f>S135+(U135*V135)</f>
        <v>13</v>
      </c>
      <c r="AD135" s="199" t="str">
        <f>VLOOKUP(AC135,'Lookup Tables'!$A$38:$B$151,2,FALSE)</f>
        <v>July</v>
      </c>
      <c r="AE135" s="191">
        <f>VLOOKUP(AD135,'Lookup Tables'!$A$22:$B$33,2,FALSE)</f>
        <v>1</v>
      </c>
      <c r="AF135" s="222">
        <f>VLOOKUP($AE135,'Lookup Tables'!$AC$3:$AW$16,MATCH(PersonCalcYr3!$AB135,'Lookup Tables'!$AC$3:$AW$3),FALSE)</f>
        <v>2</v>
      </c>
      <c r="AG135" s="190">
        <f>IF(AB135&lt;AF135,AB135,AF135)</f>
        <v>2</v>
      </c>
      <c r="AH135" s="195">
        <f>IF((AG135)&lt;=0,0,1)</f>
        <v>1</v>
      </c>
      <c r="AI135" s="202">
        <f>(('Rate Tables'!$E29*$E135)*PersonCalcYr3!AG135)*AH135*$F135</f>
        <v>0</v>
      </c>
      <c r="AJ135" s="197">
        <f>AB135-(AG135*AH135)</f>
        <v>0</v>
      </c>
      <c r="AK135" s="178"/>
      <c r="AL135" s="217"/>
      <c r="AM135" s="197">
        <f>IF(AJ135&lt;0,AJ135*0,1)*AJ135</f>
        <v>0</v>
      </c>
      <c r="AN135" s="203">
        <f>AE135+(AG135*AH135)</f>
        <v>3</v>
      </c>
      <c r="AO135" s="199" t="str">
        <f>VLOOKUP(AN135,'Lookup Tables'!$A$38:$B$151,2,FALSE)</f>
        <v>Sept</v>
      </c>
      <c r="AP135" s="191">
        <f>VLOOKUP(AO135,'Lookup Tables'!$A$22:$B$33,2,FALSE)</f>
        <v>3</v>
      </c>
      <c r="AQ135" s="222">
        <f>VLOOKUP($AP135,'Lookup Tables'!$AC$3:$AW$16,MATCH(PersonCalcYr3!$AM135,'Lookup Tables'!$AC$3:$AW$3),FALSE)</f>
        <v>0</v>
      </c>
      <c r="AR135" s="190">
        <f>IF(AM135&lt;AQ135,AM135,AQ135)</f>
        <v>0</v>
      </c>
      <c r="AS135" s="195">
        <f>IF((AR135)&lt;=0,0,1)</f>
        <v>0</v>
      </c>
      <c r="AT135" s="202">
        <f>(('Rate Tables'!$F29*$E135)*PersonCalcYr3!AR135)*AS135*$F135</f>
        <v>0</v>
      </c>
      <c r="AU135" s="197">
        <f>AM135-(AR135*AS135)</f>
        <v>0</v>
      </c>
      <c r="AV135" s="202"/>
      <c r="AW135" s="202"/>
      <c r="AX135" s="824">
        <f>IF(AU135&lt;0,AU135*0,1)*AU135</f>
        <v>0</v>
      </c>
      <c r="AY135" s="203">
        <f>AP135+(AR135*AS135)</f>
        <v>3</v>
      </c>
      <c r="AZ135" s="199" t="str">
        <f>VLOOKUP(AY135,'Lookup Tables'!$A$38:$B$151,2,FALSE)</f>
        <v>Sept</v>
      </c>
      <c r="BA135" s="191">
        <f>VLOOKUP(AZ135,'Lookup Tables'!$A$22:$B$33,2,FALSE)</f>
        <v>3</v>
      </c>
      <c r="BB135" s="222">
        <f>VLOOKUP($BA135,'Lookup Tables'!$AC$3:$AW$16,MATCH(PersonCalcYr3!$AX135,'Lookup Tables'!$AC$3:$AW$3),FALSE)</f>
        <v>0</v>
      </c>
      <c r="BC135" s="190">
        <f>IF(AX135&lt;BB135,AX135,BB135)</f>
        <v>0</v>
      </c>
      <c r="BD135" s="195">
        <f>IF((BC135)&lt;=0,0,1)</f>
        <v>0</v>
      </c>
      <c r="BE135" s="202">
        <f>(('Rate Tables'!$G29*$E135)*PersonCalcYr3!BC135)*BD135*$F135</f>
        <v>0</v>
      </c>
      <c r="BF135" s="197">
        <f>AX135-(BC135*BD135)</f>
        <v>0</v>
      </c>
      <c r="BG135" s="202"/>
      <c r="BH135" s="202"/>
      <c r="BI135" s="202"/>
      <c r="BJ135" s="178"/>
      <c r="BK135" s="311"/>
      <c r="BL135" s="12"/>
      <c r="BM135" s="227" t="s">
        <v>453</v>
      </c>
      <c r="BN135" s="275">
        <f>IF(BN134=0,0,BN133)</f>
        <v>0.3226</v>
      </c>
      <c r="BO135" s="12">
        <f>(BN131+BN140)*BO133</f>
        <v>0</v>
      </c>
    </row>
    <row r="136" spans="1:67" x14ac:dyDescent="0.25">
      <c r="A136" s="296"/>
      <c r="B136" s="12"/>
      <c r="C136" s="117" t="s">
        <v>664</v>
      </c>
      <c r="D136" s="188"/>
      <c r="E136" s="153"/>
      <c r="F136" s="153" t="s">
        <v>42</v>
      </c>
      <c r="G136" s="153" t="s">
        <v>598</v>
      </c>
      <c r="H136" s="183" t="s">
        <v>77</v>
      </c>
      <c r="I136" s="219" t="s">
        <v>600</v>
      </c>
      <c r="J136" s="153" t="s">
        <v>110</v>
      </c>
      <c r="K136" s="153" t="s">
        <v>78</v>
      </c>
      <c r="L136" s="153" t="s">
        <v>82</v>
      </c>
      <c r="M136" s="153" t="s">
        <v>33</v>
      </c>
      <c r="N136" s="153" t="s">
        <v>69</v>
      </c>
      <c r="O136" s="217"/>
      <c r="P136" s="153" t="s">
        <v>72</v>
      </c>
      <c r="Q136" s="183" t="s">
        <v>80</v>
      </c>
      <c r="R136" s="187" t="s">
        <v>81</v>
      </c>
      <c r="S136" s="183" t="s">
        <v>77</v>
      </c>
      <c r="T136" s="673" t="s">
        <v>107</v>
      </c>
      <c r="U136" s="153" t="s">
        <v>79</v>
      </c>
      <c r="V136" s="153" t="s">
        <v>82</v>
      </c>
      <c r="W136" s="153" t="s">
        <v>34</v>
      </c>
      <c r="X136" s="153" t="s">
        <v>69</v>
      </c>
      <c r="Y136" s="178"/>
      <c r="Z136" s="178"/>
      <c r="AA136" s="217"/>
      <c r="AB136" s="153" t="s">
        <v>72</v>
      </c>
      <c r="AC136" s="153" t="s">
        <v>80</v>
      </c>
      <c r="AD136" s="187" t="s">
        <v>81</v>
      </c>
      <c r="AE136" s="183" t="s">
        <v>77</v>
      </c>
      <c r="AF136" s="220" t="s">
        <v>107</v>
      </c>
      <c r="AG136" s="153" t="s">
        <v>601</v>
      </c>
      <c r="AH136" s="153" t="s">
        <v>82</v>
      </c>
      <c r="AI136" s="153" t="s">
        <v>602</v>
      </c>
      <c r="AJ136" s="153" t="s">
        <v>69</v>
      </c>
      <c r="AK136" s="178"/>
      <c r="AL136" s="217"/>
      <c r="AM136" s="153" t="s">
        <v>72</v>
      </c>
      <c r="AN136" s="153" t="s">
        <v>80</v>
      </c>
      <c r="AO136" s="187" t="s">
        <v>81</v>
      </c>
      <c r="AP136" s="183" t="s">
        <v>77</v>
      </c>
      <c r="AQ136" s="220" t="s">
        <v>107</v>
      </c>
      <c r="AR136" s="153" t="s">
        <v>79</v>
      </c>
      <c r="AS136" s="153" t="s">
        <v>82</v>
      </c>
      <c r="AT136" s="153" t="s">
        <v>602</v>
      </c>
      <c r="AU136" s="153" t="s">
        <v>69</v>
      </c>
      <c r="AV136" s="153"/>
      <c r="AW136" s="153"/>
      <c r="AX136" s="823" t="s">
        <v>72</v>
      </c>
      <c r="AY136" s="153" t="s">
        <v>80</v>
      </c>
      <c r="AZ136" s="187" t="s">
        <v>81</v>
      </c>
      <c r="BA136" s="183" t="s">
        <v>77</v>
      </c>
      <c r="BB136" s="220" t="s">
        <v>107</v>
      </c>
      <c r="BC136" s="153" t="s">
        <v>79</v>
      </c>
      <c r="BD136" s="153" t="s">
        <v>82</v>
      </c>
      <c r="BE136" s="153" t="s">
        <v>602</v>
      </c>
      <c r="BF136" s="153" t="s">
        <v>69</v>
      </c>
      <c r="BG136" s="153"/>
      <c r="BH136" s="153"/>
      <c r="BI136" s="153"/>
      <c r="BJ136" s="178"/>
      <c r="BK136" s="311"/>
      <c r="BL136" s="12"/>
      <c r="BM136" s="227"/>
      <c r="BN136" s="275"/>
      <c r="BO136" s="12"/>
    </row>
    <row r="137" spans="1:67" x14ac:dyDescent="0.25">
      <c r="A137" s="296"/>
      <c r="B137" s="12"/>
      <c r="C137" s="115"/>
      <c r="D137" s="188"/>
      <c r="E137" s="221">
        <f>BL$131</f>
        <v>0.1</v>
      </c>
      <c r="F137" s="190">
        <f>IF($D$4=2024,1,0)</f>
        <v>1</v>
      </c>
      <c r="G137" s="178">
        <f>IF($B140="Yes",$C$5,$I141)</f>
        <v>12</v>
      </c>
      <c r="H137" s="191">
        <f>VLOOKUP(H140,'Lookup Tables'!$A$22:$B$33,2,FALSE)</f>
        <v>3</v>
      </c>
      <c r="I137" s="192">
        <f>VLOOKUP($E$4,'Lookup Tables'!$AB$46:$AN$58,MATCH($H137,'Lookup Tables'!$AB$46:$AN$46),FALSE)</f>
        <v>12</v>
      </c>
      <c r="J137" s="190">
        <f>12-I137</f>
        <v>0</v>
      </c>
      <c r="K137" s="190">
        <f>IF(G137&lt;J137,G137,J137)</f>
        <v>0</v>
      </c>
      <c r="L137" s="195">
        <f>IF(12-I137&gt;=1,1,0)</f>
        <v>0</v>
      </c>
      <c r="M137" s="202">
        <f>((('Rate Tables'!$D29*$E137)*PersonCalcYr3!$K137)*L137)*$F137</f>
        <v>0</v>
      </c>
      <c r="N137" s="197">
        <f>G137-(J137*L137)</f>
        <v>12</v>
      </c>
      <c r="O137" s="217"/>
      <c r="P137" s="197">
        <f>IF(N137&lt;0,N137*0,1)*N137</f>
        <v>12</v>
      </c>
      <c r="Q137" s="198">
        <f>VLOOKUP(H140,'Lookup Tables'!$A$22:$B$33,2,FALSE)+(K137*L137)</f>
        <v>3</v>
      </c>
      <c r="R137" s="199" t="str">
        <f>VLOOKUP(Q137,'Lookup Tables'!$A$38:$B$151,2,FALSE)</f>
        <v>Sept</v>
      </c>
      <c r="S137" s="191">
        <f>VLOOKUP(R137,'Lookup Tables'!$A$22:$B$33,2,FALSE)</f>
        <v>3</v>
      </c>
      <c r="T137" s="672">
        <f>VLOOKUP($E$4,'Lookup Tables'!$AQ$46:$BC$58,MATCH(PersonCalcYr3!$S137,'Lookup Tables'!$AQ$46:$BC$46),FALSE)</f>
        <v>10</v>
      </c>
      <c r="U137" s="190">
        <f>IF(P137&lt;T137,P137,T137)</f>
        <v>10</v>
      </c>
      <c r="V137" s="195">
        <f>IF((U137)&lt;=0,0,1)</f>
        <v>1</v>
      </c>
      <c r="W137" s="202">
        <f>(('Rate Tables'!$E29*$E137)*PersonCalcYr3!$U137)*$V137*$F137</f>
        <v>0</v>
      </c>
      <c r="X137" s="197">
        <f>P137-(U137*V137)</f>
        <v>2</v>
      </c>
      <c r="Y137" s="178"/>
      <c r="Z137" s="178"/>
      <c r="AA137" s="217"/>
      <c r="AB137" s="197">
        <f>IF(X137&lt;0,X137*0,1)*X137</f>
        <v>2</v>
      </c>
      <c r="AC137" s="203">
        <f>S137+(U137*V137)</f>
        <v>13</v>
      </c>
      <c r="AD137" s="199" t="str">
        <f>VLOOKUP(AC137,'Lookup Tables'!$A$38:$B$151,2,FALSE)</f>
        <v>July</v>
      </c>
      <c r="AE137" s="191">
        <f>VLOOKUP(AD137,'Lookup Tables'!$A$22:$B$33,2,FALSE)</f>
        <v>1</v>
      </c>
      <c r="AF137" s="222">
        <f>VLOOKUP($AE137,'Lookup Tables'!$AC$3:$AW$16,MATCH(PersonCalcYr3!$AB137,'Lookup Tables'!$AC$3:$AW$3),FALSE)</f>
        <v>2</v>
      </c>
      <c r="AG137" s="190">
        <f>IF(AB137&lt;AF137,AB137,AF137)</f>
        <v>2</v>
      </c>
      <c r="AH137" s="195">
        <f>IF((AG137)&lt;=0,0,1)</f>
        <v>1</v>
      </c>
      <c r="AI137" s="202">
        <f>(('Rate Tables'!$F29*$E137)*PersonCalcYr3!AG137)*AH137*$F137</f>
        <v>0</v>
      </c>
      <c r="AJ137" s="197">
        <f>AB137-(AG137*AH137)</f>
        <v>0</v>
      </c>
      <c r="AK137" s="178"/>
      <c r="AL137" s="217"/>
      <c r="AM137" s="197">
        <f>IF(AJ137&lt;0,AJ137*0,1)*AJ137</f>
        <v>0</v>
      </c>
      <c r="AN137" s="203">
        <f>AE137+(AG137*AH137)</f>
        <v>3</v>
      </c>
      <c r="AO137" s="199" t="str">
        <f>VLOOKUP(AN137,'Lookup Tables'!$A$38:$B$151,2,FALSE)</f>
        <v>Sept</v>
      </c>
      <c r="AP137" s="191">
        <f>VLOOKUP(AO137,'Lookup Tables'!$A$22:$B$33,2,FALSE)</f>
        <v>3</v>
      </c>
      <c r="AQ137" s="222">
        <f>VLOOKUP($AP137,'Lookup Tables'!$AC$3:$AW$16,MATCH(PersonCalcYr3!$AM137,'Lookup Tables'!$AC$3:$AW$3),FALSE)</f>
        <v>0</v>
      </c>
      <c r="AR137" s="190">
        <f>IF(AM137&lt;AQ137,AM137,AQ137)</f>
        <v>0</v>
      </c>
      <c r="AS137" s="195">
        <f>IF((AR137)&lt;=0,0,1)</f>
        <v>0</v>
      </c>
      <c r="AT137" s="202">
        <f>(('Rate Tables'!$G29*$E137)*PersonCalcYr3!AR137)*AS137*$F137</f>
        <v>0</v>
      </c>
      <c r="AU137" s="197">
        <f>AM137-(AR137*AS137)</f>
        <v>0</v>
      </c>
      <c r="AV137" s="202"/>
      <c r="AW137" s="202"/>
      <c r="AX137" s="824">
        <f>IF(AU137&lt;0,AU137*0,1)*AU137</f>
        <v>0</v>
      </c>
      <c r="AY137" s="203">
        <f>AP137+(AR137*AS137)</f>
        <v>3</v>
      </c>
      <c r="AZ137" s="199" t="str">
        <f>VLOOKUP(AY137,'Lookup Tables'!$A$38:$B$151,2,FALSE)</f>
        <v>Sept</v>
      </c>
      <c r="BA137" s="191">
        <f>VLOOKUP(AZ137,'Lookup Tables'!$A$22:$B$33,2,FALSE)</f>
        <v>3</v>
      </c>
      <c r="BB137" s="222">
        <f>VLOOKUP($BA137,'Lookup Tables'!$AC$3:$AW$16,MATCH(PersonCalcYr3!$AX137,'Lookup Tables'!$AC$3:$AW$3),FALSE)</f>
        <v>0</v>
      </c>
      <c r="BC137" s="190">
        <f>IF(AX137&lt;BB137,AX137,BB137)</f>
        <v>0</v>
      </c>
      <c r="BD137" s="195">
        <f>IF((BC137)&lt;=0,0,1)</f>
        <v>0</v>
      </c>
      <c r="BE137" s="202">
        <f>(('Rate Tables'!$H29*$E137)*PersonCalcYr3!BC137)*BD137*$F137</f>
        <v>0</v>
      </c>
      <c r="BF137" s="197">
        <f>AX137-(BC137*BD137)</f>
        <v>0</v>
      </c>
      <c r="BG137" s="202"/>
      <c r="BH137" s="202"/>
      <c r="BI137" s="202"/>
      <c r="BJ137" s="178"/>
      <c r="BK137" s="311"/>
      <c r="BL137" s="12"/>
      <c r="BM137" s="227"/>
      <c r="BN137" s="275"/>
      <c r="BO137" s="12"/>
    </row>
    <row r="138" spans="1:67" x14ac:dyDescent="0.25">
      <c r="A138" s="296"/>
      <c r="B138" s="12"/>
      <c r="C138" s="819" t="s">
        <v>732</v>
      </c>
      <c r="D138" s="188"/>
      <c r="E138" s="153"/>
      <c r="F138" s="153" t="s">
        <v>42</v>
      </c>
      <c r="G138" s="153" t="s">
        <v>598</v>
      </c>
      <c r="H138" s="183" t="s">
        <v>77</v>
      </c>
      <c r="I138" s="219" t="s">
        <v>600</v>
      </c>
      <c r="J138" s="153" t="s">
        <v>110</v>
      </c>
      <c r="K138" s="153" t="s">
        <v>78</v>
      </c>
      <c r="L138" s="153" t="s">
        <v>82</v>
      </c>
      <c r="M138" s="153" t="s">
        <v>33</v>
      </c>
      <c r="N138" s="153" t="s">
        <v>69</v>
      </c>
      <c r="O138" s="217"/>
      <c r="P138" s="153" t="s">
        <v>72</v>
      </c>
      <c r="Q138" s="183" t="s">
        <v>80</v>
      </c>
      <c r="R138" s="187" t="s">
        <v>81</v>
      </c>
      <c r="S138" s="183" t="s">
        <v>77</v>
      </c>
      <c r="T138" s="673" t="s">
        <v>107</v>
      </c>
      <c r="U138" s="153" t="s">
        <v>79</v>
      </c>
      <c r="V138" s="153" t="s">
        <v>82</v>
      </c>
      <c r="W138" s="153" t="s">
        <v>34</v>
      </c>
      <c r="X138" s="153" t="s">
        <v>69</v>
      </c>
      <c r="Y138" s="178"/>
      <c r="Z138" s="178"/>
      <c r="AA138" s="217"/>
      <c r="AB138" s="153" t="s">
        <v>72</v>
      </c>
      <c r="AC138" s="153" t="s">
        <v>80</v>
      </c>
      <c r="AD138" s="187" t="s">
        <v>81</v>
      </c>
      <c r="AE138" s="183" t="s">
        <v>77</v>
      </c>
      <c r="AF138" s="220" t="s">
        <v>107</v>
      </c>
      <c r="AG138" s="153" t="s">
        <v>601</v>
      </c>
      <c r="AH138" s="153" t="s">
        <v>82</v>
      </c>
      <c r="AI138" s="153" t="s">
        <v>602</v>
      </c>
      <c r="AJ138" s="153" t="s">
        <v>69</v>
      </c>
      <c r="AK138" s="178"/>
      <c r="AL138" s="217"/>
      <c r="AM138" s="153" t="s">
        <v>72</v>
      </c>
      <c r="AN138" s="153" t="s">
        <v>80</v>
      </c>
      <c r="AO138" s="187" t="s">
        <v>81</v>
      </c>
      <c r="AP138" s="183" t="s">
        <v>77</v>
      </c>
      <c r="AQ138" s="220" t="s">
        <v>107</v>
      </c>
      <c r="AR138" s="153" t="s">
        <v>79</v>
      </c>
      <c r="AS138" s="153" t="s">
        <v>82</v>
      </c>
      <c r="AT138" s="153" t="s">
        <v>602</v>
      </c>
      <c r="AU138" s="153" t="s">
        <v>69</v>
      </c>
      <c r="AV138" s="202"/>
      <c r="AW138" s="202"/>
      <c r="AX138" s="823" t="s">
        <v>72</v>
      </c>
      <c r="AY138" s="153" t="s">
        <v>80</v>
      </c>
      <c r="AZ138" s="187" t="s">
        <v>81</v>
      </c>
      <c r="BA138" s="183" t="s">
        <v>77</v>
      </c>
      <c r="BB138" s="220" t="s">
        <v>107</v>
      </c>
      <c r="BC138" s="153" t="s">
        <v>79</v>
      </c>
      <c r="BD138" s="153" t="s">
        <v>82</v>
      </c>
      <c r="BE138" s="153" t="s">
        <v>602</v>
      </c>
      <c r="BF138" s="153" t="s">
        <v>69</v>
      </c>
      <c r="BG138" s="202"/>
      <c r="BH138" s="202"/>
      <c r="BI138" s="202"/>
      <c r="BJ138" s="178"/>
      <c r="BK138" s="311"/>
      <c r="BL138" s="12"/>
      <c r="BM138" s="227"/>
      <c r="BN138" s="275"/>
      <c r="BO138" s="12"/>
    </row>
    <row r="139" spans="1:67" ht="15.75" thickBot="1" x14ac:dyDescent="0.3">
      <c r="A139" s="296"/>
      <c r="B139" s="12"/>
      <c r="C139" s="115"/>
      <c r="D139" s="188"/>
      <c r="E139" s="221">
        <f>BL$131</f>
        <v>0.1</v>
      </c>
      <c r="F139" s="190">
        <f>IF($D$4=2025,1,0)</f>
        <v>0</v>
      </c>
      <c r="G139" s="178">
        <f>IF($B140="Yes",$C$5,$I141)</f>
        <v>12</v>
      </c>
      <c r="H139" s="191">
        <f>VLOOKUP(H140,'Lookup Tables'!$A$22:$B$33,2,FALSE)</f>
        <v>3</v>
      </c>
      <c r="I139" s="192">
        <f>VLOOKUP($E$4,'Lookup Tables'!$AB$46:$AN$58,MATCH($H139,'Lookup Tables'!$AB$46:$AN$46),FALSE)</f>
        <v>12</v>
      </c>
      <c r="J139" s="190">
        <f>12-I139</f>
        <v>0</v>
      </c>
      <c r="K139" s="190">
        <f>IF(G139&lt;J139,G139,J139)</f>
        <v>0</v>
      </c>
      <c r="L139" s="195">
        <f>IF(12-I139&gt;=1,1,0)</f>
        <v>0</v>
      </c>
      <c r="M139" s="202">
        <f>((('Rate Tables'!$E29*$E139)*PersonCalcYr3!$K139)*L139)*$F139</f>
        <v>0</v>
      </c>
      <c r="N139" s="197">
        <f>G139-(J139*L139)</f>
        <v>12</v>
      </c>
      <c r="O139" s="217"/>
      <c r="P139" s="197">
        <f>IF(N139&lt;0,N139*0,1)*N139</f>
        <v>12</v>
      </c>
      <c r="Q139" s="198">
        <f>VLOOKUP(H140,'Lookup Tables'!$A$22:$B$33,2,FALSE)+(K139*L139)</f>
        <v>3</v>
      </c>
      <c r="R139" s="199" t="str">
        <f>VLOOKUP(Q139,'Lookup Tables'!$A$38:$B$151,2,FALSE)</f>
        <v>Sept</v>
      </c>
      <c r="S139" s="191">
        <f>VLOOKUP(R139,'Lookup Tables'!$A$22:$B$33,2,FALSE)</f>
        <v>3</v>
      </c>
      <c r="T139" s="672">
        <f>VLOOKUP($E$4,'Lookup Tables'!$AQ$46:$BC$58,MATCH(PersonCalcYr3!$S139,'Lookup Tables'!$AQ$46:$BC$46),FALSE)</f>
        <v>10</v>
      </c>
      <c r="U139" s="190">
        <f>IF(P139&lt;T139,P139,T139)</f>
        <v>10</v>
      </c>
      <c r="V139" s="195">
        <f>IF((U139)&lt;=0,0,1)</f>
        <v>1</v>
      </c>
      <c r="W139" s="202">
        <f>(('Rate Tables'!$F29*$E139)*PersonCalcYr3!$U139)*$V139*$F139</f>
        <v>0</v>
      </c>
      <c r="X139" s="197">
        <f>P139-(U139*V139)</f>
        <v>2</v>
      </c>
      <c r="Y139" s="178"/>
      <c r="Z139" s="178"/>
      <c r="AA139" s="217"/>
      <c r="AB139" s="197">
        <f>IF(X139&lt;0,X139*0,1)*X139</f>
        <v>2</v>
      </c>
      <c r="AC139" s="203">
        <f>S139+(U139*V139)</f>
        <v>13</v>
      </c>
      <c r="AD139" s="199" t="str">
        <f>VLOOKUP(AC139,'Lookup Tables'!$A$38:$B$151,2,FALSE)</f>
        <v>July</v>
      </c>
      <c r="AE139" s="191">
        <f>VLOOKUP(AD139,'Lookup Tables'!$A$22:$B$33,2,FALSE)</f>
        <v>1</v>
      </c>
      <c r="AF139" s="222">
        <f>VLOOKUP($AE139,'Lookup Tables'!$AC$3:$AW$16,MATCH(PersonCalcYr3!$AB139,'Lookup Tables'!$AC$3:$AW$3),FALSE)</f>
        <v>2</v>
      </c>
      <c r="AG139" s="190">
        <f>IF(AB139&lt;AF139,AB139,AF139)</f>
        <v>2</v>
      </c>
      <c r="AH139" s="195">
        <f>IF((AG139)&lt;=0,0,1)</f>
        <v>1</v>
      </c>
      <c r="AI139" s="202">
        <f>(('Rate Tables'!$G29*$E139)*PersonCalcYr3!AG139)*AH139*$F139</f>
        <v>0</v>
      </c>
      <c r="AJ139" s="197">
        <f>AB139-(AG139*AH139)</f>
        <v>0</v>
      </c>
      <c r="AK139" s="178"/>
      <c r="AL139" s="217"/>
      <c r="AM139" s="197">
        <f>IF(AJ139&lt;0,AJ139*0,1)*AJ139</f>
        <v>0</v>
      </c>
      <c r="AN139" s="203">
        <f>AE139+(AG139*AH139)</f>
        <v>3</v>
      </c>
      <c r="AO139" s="199" t="str">
        <f>VLOOKUP(AN139,'Lookup Tables'!$A$38:$B$151,2,FALSE)</f>
        <v>Sept</v>
      </c>
      <c r="AP139" s="191">
        <f>VLOOKUP(AO139,'Lookup Tables'!$A$22:$B$33,2,FALSE)</f>
        <v>3</v>
      </c>
      <c r="AQ139" s="222">
        <f>VLOOKUP($AP139,'Lookup Tables'!$AC$3:$AW$16,MATCH(PersonCalcYr3!$AM139,'Lookup Tables'!$AC$3:$AW$3),FALSE)</f>
        <v>0</v>
      </c>
      <c r="AR139" s="190">
        <f>IF(AM139&lt;AQ139,AM139,AQ139)</f>
        <v>0</v>
      </c>
      <c r="AS139" s="195">
        <f>IF((AR139)&lt;=0,0,1)</f>
        <v>0</v>
      </c>
      <c r="AT139" s="202">
        <f>(('Rate Tables'!$H29*$E139)*PersonCalcYr3!AR139)*AS139*$F139</f>
        <v>0</v>
      </c>
      <c r="AU139" s="197">
        <f>AM139-(AR139*AS139)</f>
        <v>0</v>
      </c>
      <c r="AV139" s="202"/>
      <c r="AW139" s="202"/>
      <c r="AX139" s="824">
        <f>IF(AU139&lt;0,AU139*0,1)*AU139</f>
        <v>0</v>
      </c>
      <c r="AY139" s="203">
        <f>AP139+(AR139*AS139)</f>
        <v>3</v>
      </c>
      <c r="AZ139" s="199" t="str">
        <f>VLOOKUP(AY139,'Lookup Tables'!$A$38:$B$151,2,FALSE)</f>
        <v>Sept</v>
      </c>
      <c r="BA139" s="191">
        <f>VLOOKUP(AZ139,'Lookup Tables'!$A$22:$B$33,2,FALSE)</f>
        <v>3</v>
      </c>
      <c r="BB139" s="222">
        <f>VLOOKUP($BA139,'Lookup Tables'!$AC$3:$AW$16,MATCH(PersonCalcYr3!$AX139,'Lookup Tables'!$AC$3:$AW$3),FALSE)</f>
        <v>0</v>
      </c>
      <c r="BC139" s="190">
        <f>IF(AX139&lt;BB139,AX139,BB139)</f>
        <v>0</v>
      </c>
      <c r="BD139" s="195">
        <f>IF((BC139)&lt;=0,0,1)</f>
        <v>0</v>
      </c>
      <c r="BE139" s="202">
        <f>(('Rate Tables'!$I29*$E139)*PersonCalcYr3!BC139)*BD139*$F139</f>
        <v>0</v>
      </c>
      <c r="BF139" s="197">
        <f>AX139-(BC139*BD139)</f>
        <v>0</v>
      </c>
      <c r="BG139" s="202"/>
      <c r="BH139" s="202"/>
      <c r="BI139" s="202"/>
      <c r="BJ139" s="178"/>
      <c r="BK139" s="311"/>
      <c r="BL139" s="12"/>
      <c r="BM139" s="227"/>
      <c r="BN139" s="275"/>
      <c r="BO139" s="12"/>
    </row>
    <row r="140" spans="1:67" ht="15.75" thickBot="1" x14ac:dyDescent="0.3">
      <c r="A140" s="377" t="s">
        <v>431</v>
      </c>
      <c r="B140" s="375" t="str">
        <f>Personnel!U39</f>
        <v>YES</v>
      </c>
      <c r="C140" s="12"/>
      <c r="D140" s="178"/>
      <c r="E140" s="178"/>
      <c r="F140" s="178"/>
      <c r="G140" s="178" t="s">
        <v>430</v>
      </c>
      <c r="H140" s="178" t="str">
        <f>IF(B140="yes",$C$4,A142)</f>
        <v>Sept</v>
      </c>
      <c r="I140" s="178"/>
      <c r="J140" s="178"/>
      <c r="K140" s="178"/>
      <c r="L140" s="178"/>
      <c r="M140" s="178"/>
      <c r="N140" s="178"/>
      <c r="O140" s="217"/>
      <c r="P140" s="178"/>
      <c r="Q140" s="178"/>
      <c r="R140" s="178"/>
      <c r="S140" s="178"/>
      <c r="T140" s="178"/>
      <c r="U140" s="178"/>
      <c r="V140" s="178"/>
      <c r="W140" s="178"/>
      <c r="X140" s="178"/>
      <c r="Y140" s="178"/>
      <c r="Z140" s="178"/>
      <c r="AA140" s="217"/>
      <c r="AB140" s="178"/>
      <c r="AC140" s="178"/>
      <c r="AD140" s="178"/>
      <c r="AE140" s="178"/>
      <c r="AF140" s="178"/>
      <c r="AG140" s="178"/>
      <c r="AH140" s="178"/>
      <c r="AI140" s="178"/>
      <c r="AJ140" s="178"/>
      <c r="AK140" s="178"/>
      <c r="AL140" s="217"/>
      <c r="AM140" s="178"/>
      <c r="AN140" s="178"/>
      <c r="AO140" s="178"/>
      <c r="AP140" s="178"/>
      <c r="AQ140" s="178"/>
      <c r="AR140" s="178"/>
      <c r="AS140" s="178"/>
      <c r="AT140" s="178"/>
      <c r="AU140" s="178"/>
      <c r="AV140" s="178"/>
      <c r="AW140" s="178"/>
      <c r="AX140" s="178"/>
      <c r="AY140" s="178"/>
      <c r="AZ140" s="178"/>
      <c r="BA140" s="178"/>
      <c r="BB140" s="178"/>
      <c r="BC140" s="178"/>
      <c r="BD140" s="178"/>
      <c r="BE140" s="178"/>
      <c r="BF140" s="178"/>
      <c r="BG140" s="178"/>
      <c r="BH140" s="178"/>
      <c r="BI140" s="178"/>
      <c r="BJ140" s="178"/>
      <c r="BK140" s="227"/>
      <c r="BL140" s="12"/>
      <c r="BM140" s="278" t="s">
        <v>415</v>
      </c>
      <c r="BN140" s="279">
        <f>BN131*BN135</f>
        <v>0</v>
      </c>
      <c r="BO140" s="373">
        <f>BN131+BN140+BO135</f>
        <v>0</v>
      </c>
    </row>
    <row r="141" spans="1:67" x14ac:dyDescent="0.25">
      <c r="A141" s="296" t="s">
        <v>439</v>
      </c>
      <c r="B141" s="114" t="s">
        <v>427</v>
      </c>
      <c r="C141" s="12"/>
      <c r="D141" s="178"/>
      <c r="E141" s="178"/>
      <c r="F141" s="178"/>
      <c r="G141" s="818" t="s">
        <v>665</v>
      </c>
      <c r="H141" s="11">
        <f>IF(H142&lt;$C$5,H142,$C$5)</f>
        <v>12</v>
      </c>
      <c r="I141" s="178">
        <f>IF(B142&lt;=H142,B142,H142)</f>
        <v>0</v>
      </c>
      <c r="J141" s="178"/>
      <c r="K141" s="178"/>
      <c r="L141" s="178"/>
      <c r="M141" s="178"/>
      <c r="N141" s="178"/>
      <c r="O141" s="217"/>
      <c r="P141" s="178"/>
      <c r="Q141" s="178"/>
      <c r="R141" s="178"/>
      <c r="S141" s="178"/>
      <c r="T141" s="178"/>
      <c r="U141" s="178"/>
      <c r="V141" s="178"/>
      <c r="W141" s="178"/>
      <c r="X141" s="178"/>
      <c r="Y141" s="178"/>
      <c r="Z141" s="178"/>
      <c r="AA141" s="217"/>
      <c r="AB141" s="178"/>
      <c r="AC141" s="178"/>
      <c r="AD141" s="178"/>
      <c r="AE141" s="178"/>
      <c r="AF141" s="178"/>
      <c r="AG141" s="178"/>
      <c r="AH141" s="178"/>
      <c r="AI141" s="178"/>
      <c r="AJ141" s="178"/>
      <c r="AK141" s="178"/>
      <c r="AL141" s="217"/>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c r="BG141" s="178"/>
      <c r="BH141" s="178"/>
      <c r="BI141" s="178"/>
      <c r="BJ141" s="178"/>
      <c r="BK141" s="227"/>
      <c r="BL141" s="12"/>
      <c r="BM141" s="278"/>
      <c r="BN141" s="284"/>
      <c r="BO141" s="369"/>
    </row>
    <row r="142" spans="1:67" x14ac:dyDescent="0.25">
      <c r="A142" s="397">
        <f>Personnel!U40</f>
        <v>0</v>
      </c>
      <c r="B142" s="273">
        <f>Personnel!U41</f>
        <v>0</v>
      </c>
      <c r="C142" s="12"/>
      <c r="D142" s="178"/>
      <c r="E142" s="178"/>
      <c r="F142" s="178"/>
      <c r="G142" s="818" t="s">
        <v>555</v>
      </c>
      <c r="H142" s="175">
        <f>VLOOKUP($E$4,'Lookup Tables'!$L$46:$AA$58,MATCH($H$133,'Lookup Tables'!$L$46:$X$46),FALSE)</f>
        <v>12</v>
      </c>
      <c r="I142" s="178"/>
      <c r="J142" s="178"/>
      <c r="K142" s="178"/>
      <c r="L142" s="178"/>
      <c r="M142" s="178"/>
      <c r="N142" s="178"/>
      <c r="O142" s="217"/>
      <c r="P142" s="178"/>
      <c r="Q142" s="178"/>
      <c r="R142" s="178"/>
      <c r="S142" s="178"/>
      <c r="T142" s="178"/>
      <c r="U142" s="178"/>
      <c r="V142" s="178"/>
      <c r="W142" s="178"/>
      <c r="X142" s="178"/>
      <c r="Y142" s="178"/>
      <c r="Z142" s="178"/>
      <c r="AA142" s="217"/>
      <c r="AB142" s="178"/>
      <c r="AC142" s="178"/>
      <c r="AD142" s="178"/>
      <c r="AE142" s="178"/>
      <c r="AF142" s="178"/>
      <c r="AG142" s="178"/>
      <c r="AH142" s="178"/>
      <c r="AI142" s="178"/>
      <c r="AJ142" s="178"/>
      <c r="AK142" s="178"/>
      <c r="AL142" s="217"/>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227"/>
      <c r="BL142" s="12"/>
      <c r="BM142" s="278"/>
      <c r="BN142" s="284"/>
      <c r="BO142" s="369"/>
    </row>
    <row r="143" spans="1:67" ht="15.75" thickBot="1" x14ac:dyDescent="0.3">
      <c r="A143" s="297"/>
      <c r="B143" s="149"/>
      <c r="C143" s="149"/>
      <c r="D143" s="149"/>
      <c r="E143" s="149"/>
      <c r="F143" s="149"/>
      <c r="G143" s="149"/>
      <c r="H143" s="149"/>
      <c r="I143" s="149"/>
      <c r="J143" s="149"/>
      <c r="K143" s="149"/>
      <c r="L143" s="149"/>
      <c r="M143" s="149"/>
      <c r="N143" s="149"/>
      <c r="O143" s="697"/>
      <c r="P143" s="149"/>
      <c r="Q143" s="149"/>
      <c r="R143" s="149"/>
      <c r="S143" s="149"/>
      <c r="T143" s="149"/>
      <c r="U143" s="149"/>
      <c r="V143" s="149"/>
      <c r="W143" s="149"/>
      <c r="X143" s="149"/>
      <c r="Y143" s="149"/>
      <c r="Z143" s="149"/>
      <c r="AA143" s="697"/>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280"/>
      <c r="BL143" s="149"/>
      <c r="BM143" s="149"/>
      <c r="BN143" s="281"/>
      <c r="BO143" s="149"/>
    </row>
    <row r="144" spans="1:67" ht="26.25" x14ac:dyDescent="0.25">
      <c r="A144" s="298" t="s">
        <v>174</v>
      </c>
      <c r="B144" s="294" t="s">
        <v>175</v>
      </c>
      <c r="C144" s="180" t="s">
        <v>606</v>
      </c>
      <c r="D144" s="179"/>
      <c r="E144" s="218"/>
      <c r="F144" s="218"/>
      <c r="G144" s="181"/>
      <c r="H144" s="181"/>
      <c r="I144" s="181"/>
      <c r="J144" s="181"/>
      <c r="K144" s="181"/>
      <c r="L144" s="181"/>
      <c r="M144" s="181"/>
      <c r="N144" s="181"/>
      <c r="O144" s="181"/>
      <c r="P144" s="181"/>
      <c r="Q144" s="181"/>
      <c r="R144" s="181"/>
      <c r="S144" s="181"/>
      <c r="T144" s="181"/>
      <c r="U144" s="181"/>
      <c r="V144" s="181"/>
      <c r="W144" s="181"/>
      <c r="X144" s="181"/>
      <c r="Y144" s="181"/>
      <c r="Z144" s="493">
        <v>44378</v>
      </c>
      <c r="AA144" s="493">
        <v>44742</v>
      </c>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c r="BE144" s="181"/>
      <c r="BF144" s="181"/>
      <c r="BG144" s="181"/>
      <c r="BH144" s="181"/>
      <c r="BI144" s="181"/>
      <c r="BJ144" s="181"/>
      <c r="BK144" s="282"/>
      <c r="BL144" s="144"/>
      <c r="BM144" s="144"/>
      <c r="BN144" s="283"/>
      <c r="BO144" s="12"/>
    </row>
    <row r="145" spans="1:67" x14ac:dyDescent="0.25">
      <c r="A145" s="345">
        <f>Personnel!C45</f>
        <v>0</v>
      </c>
      <c r="B145" s="346" t="str">
        <f>Personnel!C44</f>
        <v>Prof/Admin</v>
      </c>
      <c r="C145" s="347">
        <f>Personnel!C46</f>
        <v>0</v>
      </c>
      <c r="D145" s="188"/>
      <c r="E145" s="205"/>
      <c r="F145" s="205"/>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306" t="s">
        <v>413</v>
      </c>
      <c r="BL145" s="348">
        <f>Personnel!W44</f>
        <v>0.25</v>
      </c>
      <c r="BM145" s="278" t="s">
        <v>96</v>
      </c>
      <c r="BN145" s="279">
        <f>(M147+W147+AI147+AT147+BE147+M149+W149+AI149+AT149+BE149+M151+W151+AI151+AT151+BE151+M153+W153+AI153+AT153+BE153)*BL148</f>
        <v>0</v>
      </c>
      <c r="BO145" s="369"/>
    </row>
    <row r="146" spans="1:67" x14ac:dyDescent="0.25">
      <c r="A146" s="296"/>
      <c r="B146" s="12"/>
      <c r="C146" s="117" t="s">
        <v>30</v>
      </c>
      <c r="D146" s="182"/>
      <c r="E146" s="153"/>
      <c r="F146" s="153" t="s">
        <v>42</v>
      </c>
      <c r="G146" s="153" t="s">
        <v>41</v>
      </c>
      <c r="H146" s="183" t="s">
        <v>77</v>
      </c>
      <c r="I146" s="219" t="s">
        <v>50</v>
      </c>
      <c r="J146" s="153" t="s">
        <v>52</v>
      </c>
      <c r="K146" s="153" t="s">
        <v>35</v>
      </c>
      <c r="L146" s="153" t="s">
        <v>82</v>
      </c>
      <c r="M146" s="153" t="s">
        <v>31</v>
      </c>
      <c r="N146" s="153" t="s">
        <v>69</v>
      </c>
      <c r="O146" s="178"/>
      <c r="P146" s="153" t="s">
        <v>72</v>
      </c>
      <c r="Q146" s="183" t="s">
        <v>80</v>
      </c>
      <c r="R146" s="187" t="s">
        <v>81</v>
      </c>
      <c r="S146" s="183" t="s">
        <v>77</v>
      </c>
      <c r="T146" s="673" t="s">
        <v>107</v>
      </c>
      <c r="U146" s="153" t="s">
        <v>53</v>
      </c>
      <c r="V146" s="153" t="s">
        <v>82</v>
      </c>
      <c r="W146" s="153" t="s">
        <v>32</v>
      </c>
      <c r="X146" s="153" t="s">
        <v>69</v>
      </c>
      <c r="Y146" s="178"/>
      <c r="Z146" s="178"/>
      <c r="AA146" s="178"/>
      <c r="AB146" s="153" t="s">
        <v>72</v>
      </c>
      <c r="AC146" s="153" t="s">
        <v>80</v>
      </c>
      <c r="AD146" s="187" t="s">
        <v>81</v>
      </c>
      <c r="AE146" s="183" t="s">
        <v>77</v>
      </c>
      <c r="AF146" s="220" t="s">
        <v>107</v>
      </c>
      <c r="AG146" s="153" t="s">
        <v>78</v>
      </c>
      <c r="AH146" s="153" t="s">
        <v>82</v>
      </c>
      <c r="AI146" s="153" t="s">
        <v>33</v>
      </c>
      <c r="AJ146" s="153" t="s">
        <v>69</v>
      </c>
      <c r="AK146" s="178"/>
      <c r="AL146" s="178"/>
      <c r="AM146" s="153" t="s">
        <v>72</v>
      </c>
      <c r="AN146" s="153" t="s">
        <v>80</v>
      </c>
      <c r="AO146" s="187" t="s">
        <v>81</v>
      </c>
      <c r="AP146" s="183" t="s">
        <v>77</v>
      </c>
      <c r="AQ146" s="220" t="s">
        <v>107</v>
      </c>
      <c r="AR146" s="153" t="s">
        <v>78</v>
      </c>
      <c r="AS146" s="153" t="s">
        <v>82</v>
      </c>
      <c r="AT146" s="153" t="s">
        <v>33</v>
      </c>
      <c r="AU146" s="153" t="s">
        <v>69</v>
      </c>
      <c r="AV146" s="153"/>
      <c r="AW146" s="153"/>
      <c r="AX146" s="153" t="s">
        <v>72</v>
      </c>
      <c r="AY146" s="153" t="s">
        <v>80</v>
      </c>
      <c r="AZ146" s="187" t="s">
        <v>81</v>
      </c>
      <c r="BA146" s="183" t="s">
        <v>77</v>
      </c>
      <c r="BB146" s="220" t="s">
        <v>107</v>
      </c>
      <c r="BC146" s="153" t="s">
        <v>78</v>
      </c>
      <c r="BD146" s="153" t="s">
        <v>82</v>
      </c>
      <c r="BE146" s="153" t="s">
        <v>33</v>
      </c>
      <c r="BF146" s="153" t="s">
        <v>69</v>
      </c>
      <c r="BG146" s="153"/>
      <c r="BH146" s="153"/>
      <c r="BI146" s="153"/>
      <c r="BJ146" s="178"/>
      <c r="BK146" s="227"/>
      <c r="BL146" s="12"/>
      <c r="BM146" s="227"/>
      <c r="BN146" s="275"/>
      <c r="BO146" s="12" t="s">
        <v>418</v>
      </c>
    </row>
    <row r="147" spans="1:67" x14ac:dyDescent="0.25">
      <c r="A147" s="296"/>
      <c r="B147" s="12"/>
      <c r="C147" s="115"/>
      <c r="D147" s="188"/>
      <c r="E147" s="221">
        <f>BL145</f>
        <v>0.25</v>
      </c>
      <c r="F147" s="190">
        <f>IF($D$4=2022,1,0)</f>
        <v>0</v>
      </c>
      <c r="G147" s="178">
        <f>IF($B154="Yes",$C$5,$I155)</f>
        <v>12</v>
      </c>
      <c r="H147" s="191">
        <f>VLOOKUP(H154,'Lookup Tables'!$A$22:$B$33,2,FALSE)</f>
        <v>3</v>
      </c>
      <c r="I147" s="192">
        <f>VLOOKUP($E$4,'Lookup Tables'!$AB$46:$AN$58,MATCH($H147,'Lookup Tables'!$AB$46:$AN$46),FALSE)</f>
        <v>12</v>
      </c>
      <c r="J147" s="190">
        <f>12-I147</f>
        <v>0</v>
      </c>
      <c r="K147" s="190">
        <f>IF(G147&lt;J147,G147,J147)</f>
        <v>0</v>
      </c>
      <c r="L147" s="195">
        <f>IF(12-I147&gt;=1,1,0)</f>
        <v>0</v>
      </c>
      <c r="M147" s="202">
        <f>((('Rate Tables'!$B34*$E147)*PersonCalcYr3!$K147)*L147)*$F147</f>
        <v>0</v>
      </c>
      <c r="N147" s="197">
        <f>G147-(J147*L147)</f>
        <v>12</v>
      </c>
      <c r="O147" s="178"/>
      <c r="P147" s="197">
        <f>IF(N147&lt;0,N147*0,1)*N147</f>
        <v>12</v>
      </c>
      <c r="Q147" s="198">
        <f>VLOOKUP(H154,'Lookup Tables'!$A$22:$B$33,2,FALSE)+(K147*L147)</f>
        <v>3</v>
      </c>
      <c r="R147" s="199" t="str">
        <f>VLOOKUP(Q147,'Lookup Tables'!$A$38:$B$151,2,FALSE)</f>
        <v>Sept</v>
      </c>
      <c r="S147" s="191">
        <f>VLOOKUP(R147,'Lookup Tables'!$A$22:$B$33,2,FALSE)</f>
        <v>3</v>
      </c>
      <c r="T147" s="672">
        <f>VLOOKUP($E$4,'Lookup Tables'!$AQ$46:$BC$58,MATCH(PersonCalcYr3!$S147,'Lookup Tables'!$AQ$46:$BC$46),FALSE)</f>
        <v>10</v>
      </c>
      <c r="U147" s="190">
        <f>IF(P147&lt;T147,P147,T147)</f>
        <v>10</v>
      </c>
      <c r="V147" s="195">
        <f>IF((U147)&lt;=0,0,1)</f>
        <v>1</v>
      </c>
      <c r="W147" s="202">
        <f>(('Rate Tables'!$C34*$E147)*PersonCalcYr3!$U147)*$V147*$F147</f>
        <v>0</v>
      </c>
      <c r="X147" s="197">
        <f>P147-(U147*V147)</f>
        <v>2</v>
      </c>
      <c r="Y147" s="178"/>
      <c r="Z147" s="178"/>
      <c r="AA147" s="178"/>
      <c r="AB147" s="197">
        <f>IF(X147&lt;0,X147*0,1)*X147</f>
        <v>2</v>
      </c>
      <c r="AC147" s="203">
        <f>S147+(U147*V147)</f>
        <v>13</v>
      </c>
      <c r="AD147" s="199" t="str">
        <f>VLOOKUP(AC147,'Lookup Tables'!$A$38:$B$151,2,FALSE)</f>
        <v>July</v>
      </c>
      <c r="AE147" s="191">
        <f>VLOOKUP(AD147,'Lookup Tables'!$A$22:$B$33,2,FALSE)</f>
        <v>1</v>
      </c>
      <c r="AF147" s="222">
        <f>VLOOKUP($AE147,'Lookup Tables'!$AC$3:$AW$16,MATCH(PersonCalcYr3!$AB147,'Lookup Tables'!$AC$3:$AW$3),FALSE)</f>
        <v>2</v>
      </c>
      <c r="AG147" s="190">
        <f>IF(AB147&lt;AF147,AB147,AF147)</f>
        <v>2</v>
      </c>
      <c r="AH147" s="195">
        <f>IF((AG147)&lt;=0,0,1)</f>
        <v>1</v>
      </c>
      <c r="AI147" s="202">
        <f>(('Rate Tables'!$D34*$E147)*PersonCalcYr3!AG147)*AH147*$F147</f>
        <v>0</v>
      </c>
      <c r="AJ147" s="197">
        <f>AB147-(AG147*AH147)</f>
        <v>0</v>
      </c>
      <c r="AK147" s="178"/>
      <c r="AL147" s="178"/>
      <c r="AM147" s="197">
        <f>IF(AJ147&lt;0,AJ147*0,1)*AJ147</f>
        <v>0</v>
      </c>
      <c r="AN147" s="203">
        <f>AE147+(AG147*AH147)</f>
        <v>3</v>
      </c>
      <c r="AO147" s="199" t="str">
        <f>VLOOKUP(AN147,'Lookup Tables'!$A$38:$B$151,2,FALSE)</f>
        <v>Sept</v>
      </c>
      <c r="AP147" s="191">
        <f>VLOOKUP(AO147,'Lookup Tables'!$A$22:$B$33,2,FALSE)</f>
        <v>3</v>
      </c>
      <c r="AQ147" s="222">
        <f>VLOOKUP($AP147,'Lookup Tables'!$AC$3:$AW$16,MATCH(PersonCalcYr3!$AM147,'Lookup Tables'!$AC$3:$AW$3),FALSE)</f>
        <v>0</v>
      </c>
      <c r="AR147" s="190">
        <f>IF(AM147&lt;AQ147,AM147,AQ147)</f>
        <v>0</v>
      </c>
      <c r="AS147" s="195">
        <f>IF((AR147)&lt;=0,0,1)</f>
        <v>0</v>
      </c>
      <c r="AT147" s="202">
        <f>(('Rate Tables'!$E34*$E147)*PersonCalcYr3!AR147)*AS147*$F147</f>
        <v>0</v>
      </c>
      <c r="AU147" s="197">
        <f>AM147-(AR147*AS147)</f>
        <v>0</v>
      </c>
      <c r="AV147" s="202"/>
      <c r="AW147" s="202"/>
      <c r="AX147" s="197">
        <f>IF(AU147&lt;0,AU147*0,1)*AU147</f>
        <v>0</v>
      </c>
      <c r="AY147" s="203">
        <f>AP147+(AR147*AS147)</f>
        <v>3</v>
      </c>
      <c r="AZ147" s="199" t="str">
        <f>VLOOKUP(AY147,'Lookup Tables'!$A$38:$B$151,2,FALSE)</f>
        <v>Sept</v>
      </c>
      <c r="BA147" s="191">
        <f>VLOOKUP(AZ147,'Lookup Tables'!$A$22:$B$33,2,FALSE)</f>
        <v>3</v>
      </c>
      <c r="BB147" s="222">
        <f>VLOOKUP($BA147,'Lookup Tables'!$AC$3:$AW$16,MATCH(PersonCalcYr3!$AX147,'Lookup Tables'!$AC$3:$AW$3),FALSE)</f>
        <v>0</v>
      </c>
      <c r="BC147" s="190">
        <f>IF(AX147&lt;BB147,AX147,BB147)</f>
        <v>0</v>
      </c>
      <c r="BD147" s="195">
        <f>IF((BC147)&lt;=0,0,1)</f>
        <v>0</v>
      </c>
      <c r="BE147" s="202">
        <f>(('Rate Tables'!$F34*$E147)*PersonCalcYr3!BC147)*BD147*$F147</f>
        <v>0</v>
      </c>
      <c r="BF147" s="197">
        <f>AX147-(BC147*BD147)</f>
        <v>0</v>
      </c>
      <c r="BG147" s="202"/>
      <c r="BH147" s="202"/>
      <c r="BI147" s="202"/>
      <c r="BJ147" s="178"/>
      <c r="BK147" s="227"/>
      <c r="BL147" s="12"/>
      <c r="BM147" s="227" t="s">
        <v>451</v>
      </c>
      <c r="BN147" s="275">
        <f>(VLOOKUP($B145,'Rate Tables'!$O$2:$P$8,2,FALSE))</f>
        <v>0.3226</v>
      </c>
      <c r="BO147" s="372">
        <f>VLOOKUP('F&amp;ARatesCalc'!$B$1,'F&amp;ARatesCalc'!$A$3:$B$5,2,FALSE)</f>
        <v>0.56999999999999995</v>
      </c>
    </row>
    <row r="148" spans="1:67" x14ac:dyDescent="0.25">
      <c r="A148" s="296"/>
      <c r="B148" s="12"/>
      <c r="C148" s="117" t="s">
        <v>597</v>
      </c>
      <c r="D148" s="182"/>
      <c r="E148" s="153"/>
      <c r="F148" s="153" t="s">
        <v>42</v>
      </c>
      <c r="G148" s="153" t="s">
        <v>41</v>
      </c>
      <c r="H148" s="183" t="s">
        <v>77</v>
      </c>
      <c r="I148" s="219" t="s">
        <v>51</v>
      </c>
      <c r="J148" s="153" t="s">
        <v>110</v>
      </c>
      <c r="K148" s="153" t="s">
        <v>53</v>
      </c>
      <c r="L148" s="153" t="s">
        <v>82</v>
      </c>
      <c r="M148" s="153" t="s">
        <v>32</v>
      </c>
      <c r="N148" s="153" t="s">
        <v>69</v>
      </c>
      <c r="O148" s="178"/>
      <c r="P148" s="153" t="s">
        <v>72</v>
      </c>
      <c r="Q148" s="183" t="s">
        <v>80</v>
      </c>
      <c r="R148" s="187" t="s">
        <v>81</v>
      </c>
      <c r="S148" s="183" t="s">
        <v>77</v>
      </c>
      <c r="T148" s="673" t="s">
        <v>107</v>
      </c>
      <c r="U148" s="153" t="s">
        <v>78</v>
      </c>
      <c r="V148" s="153" t="s">
        <v>82</v>
      </c>
      <c r="W148" s="153" t="s">
        <v>33</v>
      </c>
      <c r="X148" s="153" t="s">
        <v>69</v>
      </c>
      <c r="Y148" s="178"/>
      <c r="Z148" s="178"/>
      <c r="AA148" s="178"/>
      <c r="AB148" s="153" t="s">
        <v>72</v>
      </c>
      <c r="AC148" s="153" t="s">
        <v>80</v>
      </c>
      <c r="AD148" s="187" t="s">
        <v>81</v>
      </c>
      <c r="AE148" s="183" t="s">
        <v>77</v>
      </c>
      <c r="AF148" s="220" t="s">
        <v>107</v>
      </c>
      <c r="AG148" s="153" t="s">
        <v>79</v>
      </c>
      <c r="AH148" s="153" t="s">
        <v>82</v>
      </c>
      <c r="AI148" s="153" t="s">
        <v>34</v>
      </c>
      <c r="AJ148" s="153" t="s">
        <v>69</v>
      </c>
      <c r="AK148" s="178"/>
      <c r="AL148" s="178"/>
      <c r="AM148" s="153" t="s">
        <v>72</v>
      </c>
      <c r="AN148" s="153" t="s">
        <v>80</v>
      </c>
      <c r="AO148" s="187" t="s">
        <v>81</v>
      </c>
      <c r="AP148" s="183" t="s">
        <v>77</v>
      </c>
      <c r="AQ148" s="220" t="s">
        <v>107</v>
      </c>
      <c r="AR148" s="153" t="s">
        <v>79</v>
      </c>
      <c r="AS148" s="153" t="s">
        <v>82</v>
      </c>
      <c r="AT148" s="153" t="s">
        <v>34</v>
      </c>
      <c r="AU148" s="153" t="s">
        <v>69</v>
      </c>
      <c r="AV148" s="153"/>
      <c r="AW148" s="153"/>
      <c r="AX148" s="153" t="s">
        <v>72</v>
      </c>
      <c r="AY148" s="153" t="s">
        <v>80</v>
      </c>
      <c r="AZ148" s="187" t="s">
        <v>81</v>
      </c>
      <c r="BA148" s="183" t="s">
        <v>77</v>
      </c>
      <c r="BB148" s="220" t="s">
        <v>107</v>
      </c>
      <c r="BC148" s="153" t="s">
        <v>79</v>
      </c>
      <c r="BD148" s="153" t="s">
        <v>82</v>
      </c>
      <c r="BE148" s="153" t="s">
        <v>34</v>
      </c>
      <c r="BF148" s="153" t="s">
        <v>69</v>
      </c>
      <c r="BG148" s="153"/>
      <c r="BH148" s="153"/>
      <c r="BI148" s="153"/>
      <c r="BJ148" s="178"/>
      <c r="BK148" s="307" t="s">
        <v>450</v>
      </c>
      <c r="BL148" s="349">
        <f>IF(B145=0,0,1)</f>
        <v>1</v>
      </c>
      <c r="BM148" s="227" t="s">
        <v>452</v>
      </c>
      <c r="BN148" s="275">
        <f>_xlfn.IFNA(BN147,0)</f>
        <v>0.3226</v>
      </c>
      <c r="BO148" s="12" t="s">
        <v>417</v>
      </c>
    </row>
    <row r="149" spans="1:67" x14ac:dyDescent="0.25">
      <c r="A149" s="296"/>
      <c r="B149" s="12"/>
      <c r="C149" s="115"/>
      <c r="D149" s="188"/>
      <c r="E149" s="221">
        <f>BL145</f>
        <v>0.25</v>
      </c>
      <c r="F149" s="190">
        <f>IF($D$4=2023,1,0)</f>
        <v>0</v>
      </c>
      <c r="G149" s="178">
        <f>IF($B154="Yes",$C$5,$I155)</f>
        <v>12</v>
      </c>
      <c r="H149" s="191">
        <f>VLOOKUP(H154,'Lookup Tables'!$A$22:$B$33,2,FALSE)</f>
        <v>3</v>
      </c>
      <c r="I149" s="192">
        <f>VLOOKUP($E$4,'Lookup Tables'!$AB$46:$AN$58,MATCH($H149,'Lookup Tables'!$AB$46:$AN$46),FALSE)</f>
        <v>12</v>
      </c>
      <c r="J149" s="190">
        <f>12-I149</f>
        <v>0</v>
      </c>
      <c r="K149" s="190">
        <f>IF(G149&lt;J149,G149,J149)</f>
        <v>0</v>
      </c>
      <c r="L149" s="195">
        <f>IF(12-I149&gt;=1,1,0)</f>
        <v>0</v>
      </c>
      <c r="M149" s="202">
        <f>((('Rate Tables'!$C34*$E149)*PersonCalcYr3!$K149)*L149)*$F149</f>
        <v>0</v>
      </c>
      <c r="N149" s="197">
        <f>G149-(J149*L149)</f>
        <v>12</v>
      </c>
      <c r="O149" s="178"/>
      <c r="P149" s="197">
        <f>IF(N149&lt;0,N149*0,1)*N149</f>
        <v>12</v>
      </c>
      <c r="Q149" s="198">
        <f>VLOOKUP(H154,'Lookup Tables'!$A$22:$B$33,2,FALSE)+(K149*L149)</f>
        <v>3</v>
      </c>
      <c r="R149" s="199" t="str">
        <f>VLOOKUP(Q149,'Lookup Tables'!$A$38:$B$151,2,FALSE)</f>
        <v>Sept</v>
      </c>
      <c r="S149" s="191">
        <f>VLOOKUP(R149,'Lookup Tables'!$A$22:$B$33,2,FALSE)</f>
        <v>3</v>
      </c>
      <c r="T149" s="672">
        <f>VLOOKUP($E$4,'Lookup Tables'!$AQ$46:$BC$58,MATCH(PersonCalcYr3!$S149,'Lookup Tables'!$AQ$46:$BC$46),FALSE)</f>
        <v>10</v>
      </c>
      <c r="U149" s="190">
        <f>IF(P149&lt;T149,P149,T149)</f>
        <v>10</v>
      </c>
      <c r="V149" s="195">
        <f>IF((U149)&lt;=0,0,1)</f>
        <v>1</v>
      </c>
      <c r="W149" s="202">
        <f>(('Rate Tables'!$D34*$E149)*PersonCalcYr3!$U149)*$V149*$F149</f>
        <v>0</v>
      </c>
      <c r="X149" s="197">
        <f>P149-(U149*V149)</f>
        <v>2</v>
      </c>
      <c r="Y149" s="178"/>
      <c r="Z149" s="178"/>
      <c r="AA149" s="178"/>
      <c r="AB149" s="197">
        <f>IF(X149&lt;0,X149*0,1)*X149</f>
        <v>2</v>
      </c>
      <c r="AC149" s="203">
        <f>S149+(U149*V149)</f>
        <v>13</v>
      </c>
      <c r="AD149" s="199" t="str">
        <f>VLOOKUP(AC149,'Lookup Tables'!$A$38:$B$151,2,FALSE)</f>
        <v>July</v>
      </c>
      <c r="AE149" s="191">
        <f>VLOOKUP(AD149,'Lookup Tables'!$A$22:$B$33,2,FALSE)</f>
        <v>1</v>
      </c>
      <c r="AF149" s="222">
        <f>VLOOKUP($AE149,'Lookup Tables'!$AC$3:$AW$16,MATCH(PersonCalcYr3!$AB149,'Lookup Tables'!$AC$3:$AW$3),FALSE)</f>
        <v>2</v>
      </c>
      <c r="AG149" s="190">
        <f>IF(AB149&lt;AF149,AB149,AF149)</f>
        <v>2</v>
      </c>
      <c r="AH149" s="195">
        <f>IF((AG149)&lt;=0,0,1)</f>
        <v>1</v>
      </c>
      <c r="AI149" s="202">
        <f>(('Rate Tables'!$E34*$E149)*PersonCalcYr3!AG149)*AH149*$F149</f>
        <v>0</v>
      </c>
      <c r="AJ149" s="197">
        <f>AB149-(AG149*AH149)</f>
        <v>0</v>
      </c>
      <c r="AK149" s="178"/>
      <c r="AL149" s="178"/>
      <c r="AM149" s="197">
        <f>IF(AJ149&lt;0,AJ149*0,1)*AJ149</f>
        <v>0</v>
      </c>
      <c r="AN149" s="203">
        <f>AE149+(AG149*AH149)</f>
        <v>3</v>
      </c>
      <c r="AO149" s="199" t="str">
        <f>VLOOKUP(AN149,'Lookup Tables'!$A$38:$B$151,2,FALSE)</f>
        <v>Sept</v>
      </c>
      <c r="AP149" s="191">
        <f>VLOOKUP(AO149,'Lookup Tables'!$A$22:$B$33,2,FALSE)</f>
        <v>3</v>
      </c>
      <c r="AQ149" s="222">
        <f>VLOOKUP($AP149,'Lookup Tables'!$AC$3:$AW$16,MATCH(PersonCalcYr3!$AM149,'Lookup Tables'!$AC$3:$AW$3),FALSE)</f>
        <v>0</v>
      </c>
      <c r="AR149" s="190">
        <f>IF(AM149&lt;AQ149,AM149,AQ149)</f>
        <v>0</v>
      </c>
      <c r="AS149" s="195">
        <f>IF((AR149)&lt;=0,0,1)</f>
        <v>0</v>
      </c>
      <c r="AT149" s="202">
        <f>(('Rate Tables'!$F34*$E149)*PersonCalcYr3!AR149)*AS149*$F149</f>
        <v>0</v>
      </c>
      <c r="AU149" s="197">
        <f>AM149-(AR149*AS149)</f>
        <v>0</v>
      </c>
      <c r="AV149" s="202"/>
      <c r="AW149" s="202"/>
      <c r="AX149" s="197">
        <f>IF(AU149&lt;0,AU149*0,1)*AU149</f>
        <v>0</v>
      </c>
      <c r="AY149" s="203">
        <f>AP149+(AR149*AS149)</f>
        <v>3</v>
      </c>
      <c r="AZ149" s="199" t="str">
        <f>VLOOKUP(AY149,'Lookup Tables'!$A$38:$B$151,2,FALSE)</f>
        <v>Sept</v>
      </c>
      <c r="BA149" s="191">
        <f>VLOOKUP(AZ149,'Lookup Tables'!$A$22:$B$33,2,FALSE)</f>
        <v>3</v>
      </c>
      <c r="BB149" s="222">
        <f>VLOOKUP($BA149,'Lookup Tables'!$AC$3:$AW$16,MATCH(PersonCalcYr3!$AX149,'Lookup Tables'!$AC$3:$AW$3),FALSE)</f>
        <v>0</v>
      </c>
      <c r="BC149" s="190">
        <f>IF(AX149&lt;BB149,AX149,BB149)</f>
        <v>0</v>
      </c>
      <c r="BD149" s="195">
        <f>IF((BC149)&lt;=0,0,1)</f>
        <v>0</v>
      </c>
      <c r="BE149" s="202">
        <f>(('Rate Tables'!$G34*$E149)*PersonCalcYr3!BC149)*BD149*$F149</f>
        <v>0</v>
      </c>
      <c r="BF149" s="197">
        <f>AX149-(BC149*BD149)</f>
        <v>0</v>
      </c>
      <c r="BG149" s="202"/>
      <c r="BH149" s="202"/>
      <c r="BI149" s="202"/>
      <c r="BJ149" s="178"/>
      <c r="BK149" s="311"/>
      <c r="BL149" s="12"/>
      <c r="BM149" s="227" t="s">
        <v>453</v>
      </c>
      <c r="BN149" s="275">
        <f>IF(BN148=0,0,BN147)</f>
        <v>0.3226</v>
      </c>
      <c r="BO149" s="12">
        <f>(BN145+BN154)*BO147</f>
        <v>0</v>
      </c>
    </row>
    <row r="150" spans="1:67" x14ac:dyDescent="0.25">
      <c r="A150" s="296"/>
      <c r="B150" s="12"/>
      <c r="C150" s="117" t="s">
        <v>664</v>
      </c>
      <c r="D150" s="182"/>
      <c r="E150" s="153"/>
      <c r="F150" s="153" t="s">
        <v>42</v>
      </c>
      <c r="G150" s="153" t="s">
        <v>41</v>
      </c>
      <c r="H150" s="183" t="s">
        <v>77</v>
      </c>
      <c r="I150" s="219" t="s">
        <v>51</v>
      </c>
      <c r="J150" s="153" t="s">
        <v>110</v>
      </c>
      <c r="K150" s="153" t="s">
        <v>53</v>
      </c>
      <c r="L150" s="153" t="s">
        <v>82</v>
      </c>
      <c r="M150" s="153" t="s">
        <v>32</v>
      </c>
      <c r="N150" s="153" t="s">
        <v>69</v>
      </c>
      <c r="O150" s="178"/>
      <c r="P150" s="153" t="s">
        <v>72</v>
      </c>
      <c r="Q150" s="183" t="s">
        <v>80</v>
      </c>
      <c r="R150" s="187" t="s">
        <v>81</v>
      </c>
      <c r="S150" s="183" t="s">
        <v>77</v>
      </c>
      <c r="T150" s="673" t="s">
        <v>107</v>
      </c>
      <c r="U150" s="153" t="s">
        <v>78</v>
      </c>
      <c r="V150" s="153" t="s">
        <v>82</v>
      </c>
      <c r="W150" s="153" t="s">
        <v>33</v>
      </c>
      <c r="X150" s="153" t="s">
        <v>69</v>
      </c>
      <c r="Y150" s="178"/>
      <c r="Z150" s="178"/>
      <c r="AA150" s="178"/>
      <c r="AB150" s="153" t="s">
        <v>72</v>
      </c>
      <c r="AC150" s="153" t="s">
        <v>80</v>
      </c>
      <c r="AD150" s="187" t="s">
        <v>81</v>
      </c>
      <c r="AE150" s="183" t="s">
        <v>77</v>
      </c>
      <c r="AF150" s="220" t="s">
        <v>107</v>
      </c>
      <c r="AG150" s="153" t="s">
        <v>79</v>
      </c>
      <c r="AH150" s="153" t="s">
        <v>82</v>
      </c>
      <c r="AI150" s="153" t="s">
        <v>34</v>
      </c>
      <c r="AJ150" s="153" t="s">
        <v>69</v>
      </c>
      <c r="AK150" s="178"/>
      <c r="AL150" s="178"/>
      <c r="AM150" s="153" t="s">
        <v>72</v>
      </c>
      <c r="AN150" s="153" t="s">
        <v>80</v>
      </c>
      <c r="AO150" s="187" t="s">
        <v>81</v>
      </c>
      <c r="AP150" s="183" t="s">
        <v>77</v>
      </c>
      <c r="AQ150" s="220" t="s">
        <v>107</v>
      </c>
      <c r="AR150" s="153" t="s">
        <v>79</v>
      </c>
      <c r="AS150" s="153" t="s">
        <v>82</v>
      </c>
      <c r="AT150" s="153" t="s">
        <v>34</v>
      </c>
      <c r="AU150" s="153" t="s">
        <v>69</v>
      </c>
      <c r="AV150" s="202"/>
      <c r="AW150" s="202"/>
      <c r="AX150" s="153" t="s">
        <v>72</v>
      </c>
      <c r="AY150" s="153" t="s">
        <v>80</v>
      </c>
      <c r="AZ150" s="187" t="s">
        <v>81</v>
      </c>
      <c r="BA150" s="183" t="s">
        <v>77</v>
      </c>
      <c r="BB150" s="220" t="s">
        <v>107</v>
      </c>
      <c r="BC150" s="153" t="s">
        <v>79</v>
      </c>
      <c r="BD150" s="153" t="s">
        <v>82</v>
      </c>
      <c r="BE150" s="153" t="s">
        <v>34</v>
      </c>
      <c r="BF150" s="153" t="s">
        <v>69</v>
      </c>
      <c r="BG150" s="202"/>
      <c r="BH150" s="202"/>
      <c r="BI150" s="202"/>
      <c r="BJ150" s="178"/>
      <c r="BK150" s="311"/>
      <c r="BL150" s="12"/>
      <c r="BM150" s="227"/>
      <c r="BN150" s="275"/>
      <c r="BO150" s="12"/>
    </row>
    <row r="151" spans="1:67" x14ac:dyDescent="0.25">
      <c r="A151" s="296"/>
      <c r="B151" s="12"/>
      <c r="C151" s="115"/>
      <c r="D151" s="188"/>
      <c r="E151" s="221">
        <f>BL145</f>
        <v>0.25</v>
      </c>
      <c r="F151" s="190">
        <f>IF($D$4=2024,1,0)</f>
        <v>1</v>
      </c>
      <c r="G151" s="178">
        <f>IF($B154="Yes",$C$5,$I155)</f>
        <v>12</v>
      </c>
      <c r="H151" s="191">
        <f>VLOOKUP(H154,'Lookup Tables'!$A$22:$B$33,2,FALSE)</f>
        <v>3</v>
      </c>
      <c r="I151" s="192">
        <f>VLOOKUP($E$4,'Lookup Tables'!$AB$46:$AN$58,MATCH($H151,'Lookup Tables'!$AB$46:$AN$46),FALSE)</f>
        <v>12</v>
      </c>
      <c r="J151" s="190">
        <f>12-I151</f>
        <v>0</v>
      </c>
      <c r="K151" s="190">
        <f>IF(G151&lt;J151,G151,J151)</f>
        <v>0</v>
      </c>
      <c r="L151" s="195">
        <f>IF(12-I151&gt;=1,1,0)</f>
        <v>0</v>
      </c>
      <c r="M151" s="202">
        <f>((('Rate Tables'!$D34*$E151)*PersonCalcYr3!$K151)*L151)*$F151</f>
        <v>0</v>
      </c>
      <c r="N151" s="197">
        <f>G151-(J151*L151)</f>
        <v>12</v>
      </c>
      <c r="O151" s="178"/>
      <c r="P151" s="197">
        <f>IF(N151&lt;0,N151*0,1)*N151</f>
        <v>12</v>
      </c>
      <c r="Q151" s="198">
        <f>VLOOKUP(H154,'Lookup Tables'!$A$22:$B$33,2,FALSE)+(K151*L151)</f>
        <v>3</v>
      </c>
      <c r="R151" s="199" t="str">
        <f>VLOOKUP(Q151,'Lookup Tables'!$A$38:$B$151,2,FALSE)</f>
        <v>Sept</v>
      </c>
      <c r="S151" s="191">
        <f>VLOOKUP(R151,'Lookup Tables'!$A$22:$B$33,2,FALSE)</f>
        <v>3</v>
      </c>
      <c r="T151" s="672">
        <f>VLOOKUP($E$4,'Lookup Tables'!$AQ$46:$BC$58,MATCH(PersonCalcYr3!$S151,'Lookup Tables'!$AQ$46:$BC$46),FALSE)</f>
        <v>10</v>
      </c>
      <c r="U151" s="190">
        <f>IF(P151&lt;T151,P151,T151)</f>
        <v>10</v>
      </c>
      <c r="V151" s="195">
        <f>IF((U151)&lt;=0,0,1)</f>
        <v>1</v>
      </c>
      <c r="W151" s="202">
        <f>(('Rate Tables'!$E34*$E151)*PersonCalcYr3!$U151)*$V151*$F151</f>
        <v>0</v>
      </c>
      <c r="X151" s="197">
        <f>P151-(U151*V151)</f>
        <v>2</v>
      </c>
      <c r="Y151" s="178"/>
      <c r="Z151" s="178"/>
      <c r="AA151" s="178"/>
      <c r="AB151" s="197">
        <f>IF(X151&lt;0,X151*0,1)*X151</f>
        <v>2</v>
      </c>
      <c r="AC151" s="203">
        <f>S151+(U151*V151)</f>
        <v>13</v>
      </c>
      <c r="AD151" s="199" t="str">
        <f>VLOOKUP(AC151,'Lookup Tables'!$A$38:$B$151,2,FALSE)</f>
        <v>July</v>
      </c>
      <c r="AE151" s="191">
        <f>VLOOKUP(AD151,'Lookup Tables'!$A$22:$B$33,2,FALSE)</f>
        <v>1</v>
      </c>
      <c r="AF151" s="222">
        <f>VLOOKUP($AE151,'Lookup Tables'!$AC$3:$AW$16,MATCH(PersonCalcYr3!$AB151,'Lookup Tables'!$AC$3:$AW$3),FALSE)</f>
        <v>2</v>
      </c>
      <c r="AG151" s="190">
        <f>IF(AB151&lt;AF151,AB151,AF151)</f>
        <v>2</v>
      </c>
      <c r="AH151" s="195">
        <f>IF((AG151)&lt;=0,0,1)</f>
        <v>1</v>
      </c>
      <c r="AI151" s="202">
        <f>(('Rate Tables'!$F34*$E151)*PersonCalcYr3!AG151)*AH151*$F151</f>
        <v>0</v>
      </c>
      <c r="AJ151" s="197">
        <f>AB151-(AG151*AH151)</f>
        <v>0</v>
      </c>
      <c r="AK151" s="178"/>
      <c r="AL151" s="178"/>
      <c r="AM151" s="197">
        <f>IF(AJ151&lt;0,AJ151*0,1)*AJ151</f>
        <v>0</v>
      </c>
      <c r="AN151" s="203">
        <f>AE151+(AG151*AH151)</f>
        <v>3</v>
      </c>
      <c r="AO151" s="199" t="str">
        <f>VLOOKUP(AN151,'Lookup Tables'!$A$38:$B$151,2,FALSE)</f>
        <v>Sept</v>
      </c>
      <c r="AP151" s="191">
        <f>VLOOKUP(AO151,'Lookup Tables'!$A$22:$B$33,2,FALSE)</f>
        <v>3</v>
      </c>
      <c r="AQ151" s="222">
        <f>VLOOKUP($AP151,'Lookup Tables'!$AC$3:$AW$16,MATCH(PersonCalcYr3!$AM151,'Lookup Tables'!$AC$3:$AW$3),FALSE)</f>
        <v>0</v>
      </c>
      <c r="AR151" s="190">
        <f>IF(AM151&lt;AQ151,AM151,AQ151)</f>
        <v>0</v>
      </c>
      <c r="AS151" s="195">
        <f>IF((AR151)&lt;=0,0,1)</f>
        <v>0</v>
      </c>
      <c r="AT151" s="202">
        <f>(('Rate Tables'!$G34*$E151)*PersonCalcYr3!AR151)*AS151*$F151</f>
        <v>0</v>
      </c>
      <c r="AU151" s="197">
        <f>AM151-(AR151*AS151)</f>
        <v>0</v>
      </c>
      <c r="AV151" s="202"/>
      <c r="AW151" s="202"/>
      <c r="AX151" s="197">
        <f>IF(AU151&lt;0,AU151*0,1)*AU151</f>
        <v>0</v>
      </c>
      <c r="AY151" s="203">
        <f>AP151+(AR151*AS151)</f>
        <v>3</v>
      </c>
      <c r="AZ151" s="199" t="str">
        <f>VLOOKUP(AY151,'Lookup Tables'!$A$38:$B$151,2,FALSE)</f>
        <v>Sept</v>
      </c>
      <c r="BA151" s="191">
        <f>VLOOKUP(AZ151,'Lookup Tables'!$A$22:$B$33,2,FALSE)</f>
        <v>3</v>
      </c>
      <c r="BB151" s="222">
        <f>VLOOKUP($BA151,'Lookup Tables'!$AC$3:$AW$16,MATCH(PersonCalcYr3!$AX151,'Lookup Tables'!$AC$3:$AW$3),FALSE)</f>
        <v>0</v>
      </c>
      <c r="BC151" s="190">
        <f>IF(AX151&lt;BB151,AX151,BB151)</f>
        <v>0</v>
      </c>
      <c r="BD151" s="195">
        <f>IF((BC151)&lt;=0,0,1)</f>
        <v>0</v>
      </c>
      <c r="BE151" s="202">
        <f>(('Rate Tables'!$H34*$E151)*PersonCalcYr3!BC151)*BD151*$F151</f>
        <v>0</v>
      </c>
      <c r="BF151" s="197">
        <f>AX151-(BC151*BD151)</f>
        <v>0</v>
      </c>
      <c r="BG151" s="202"/>
      <c r="BH151" s="202"/>
      <c r="BI151" s="202"/>
      <c r="BJ151" s="178"/>
      <c r="BK151" s="311"/>
      <c r="BL151" s="12"/>
      <c r="BM151" s="227"/>
      <c r="BN151" s="275"/>
      <c r="BO151" s="12"/>
    </row>
    <row r="152" spans="1:67" x14ac:dyDescent="0.25">
      <c r="A152" s="296"/>
      <c r="B152" s="12"/>
      <c r="C152" s="819" t="s">
        <v>732</v>
      </c>
      <c r="D152" s="182"/>
      <c r="E152" s="153"/>
      <c r="F152" s="153" t="s">
        <v>42</v>
      </c>
      <c r="G152" s="153" t="s">
        <v>41</v>
      </c>
      <c r="H152" s="183" t="s">
        <v>77</v>
      </c>
      <c r="I152" s="219" t="s">
        <v>51</v>
      </c>
      <c r="J152" s="153" t="s">
        <v>110</v>
      </c>
      <c r="K152" s="153" t="s">
        <v>53</v>
      </c>
      <c r="L152" s="153" t="s">
        <v>82</v>
      </c>
      <c r="M152" s="153" t="s">
        <v>32</v>
      </c>
      <c r="N152" s="153" t="s">
        <v>69</v>
      </c>
      <c r="O152" s="178"/>
      <c r="P152" s="153" t="s">
        <v>72</v>
      </c>
      <c r="Q152" s="183" t="s">
        <v>80</v>
      </c>
      <c r="R152" s="187" t="s">
        <v>81</v>
      </c>
      <c r="S152" s="183" t="s">
        <v>77</v>
      </c>
      <c r="T152" s="673" t="s">
        <v>107</v>
      </c>
      <c r="U152" s="153" t="s">
        <v>78</v>
      </c>
      <c r="V152" s="153" t="s">
        <v>82</v>
      </c>
      <c r="W152" s="153" t="s">
        <v>33</v>
      </c>
      <c r="X152" s="153" t="s">
        <v>69</v>
      </c>
      <c r="Y152" s="178"/>
      <c r="Z152" s="178"/>
      <c r="AA152" s="178"/>
      <c r="AB152" s="153" t="s">
        <v>72</v>
      </c>
      <c r="AC152" s="153" t="s">
        <v>80</v>
      </c>
      <c r="AD152" s="187" t="s">
        <v>81</v>
      </c>
      <c r="AE152" s="183" t="s">
        <v>77</v>
      </c>
      <c r="AF152" s="220" t="s">
        <v>107</v>
      </c>
      <c r="AG152" s="153" t="s">
        <v>79</v>
      </c>
      <c r="AH152" s="153" t="s">
        <v>82</v>
      </c>
      <c r="AI152" s="153" t="s">
        <v>34</v>
      </c>
      <c r="AJ152" s="153" t="s">
        <v>69</v>
      </c>
      <c r="AK152" s="178"/>
      <c r="AL152" s="178"/>
      <c r="AM152" s="153" t="s">
        <v>72</v>
      </c>
      <c r="AN152" s="153" t="s">
        <v>80</v>
      </c>
      <c r="AO152" s="187" t="s">
        <v>81</v>
      </c>
      <c r="AP152" s="183" t="s">
        <v>77</v>
      </c>
      <c r="AQ152" s="220" t="s">
        <v>107</v>
      </c>
      <c r="AR152" s="153" t="s">
        <v>79</v>
      </c>
      <c r="AS152" s="153" t="s">
        <v>82</v>
      </c>
      <c r="AT152" s="153" t="s">
        <v>34</v>
      </c>
      <c r="AU152" s="153" t="s">
        <v>69</v>
      </c>
      <c r="AV152" s="202"/>
      <c r="AW152" s="202"/>
      <c r="AX152" s="153" t="s">
        <v>72</v>
      </c>
      <c r="AY152" s="153" t="s">
        <v>80</v>
      </c>
      <c r="AZ152" s="187" t="s">
        <v>81</v>
      </c>
      <c r="BA152" s="183" t="s">
        <v>77</v>
      </c>
      <c r="BB152" s="220" t="s">
        <v>107</v>
      </c>
      <c r="BC152" s="153" t="s">
        <v>79</v>
      </c>
      <c r="BD152" s="153" t="s">
        <v>82</v>
      </c>
      <c r="BE152" s="153" t="s">
        <v>34</v>
      </c>
      <c r="BF152" s="153" t="s">
        <v>69</v>
      </c>
      <c r="BG152" s="202"/>
      <c r="BH152" s="202"/>
      <c r="BI152" s="202"/>
      <c r="BJ152" s="178"/>
      <c r="BK152" s="311"/>
      <c r="BL152" s="12"/>
      <c r="BM152" s="227"/>
      <c r="BN152" s="275"/>
      <c r="BO152" s="12"/>
    </row>
    <row r="153" spans="1:67" ht="15.75" thickBot="1" x14ac:dyDescent="0.3">
      <c r="A153" s="296"/>
      <c r="B153" s="12"/>
      <c r="C153" s="115"/>
      <c r="D153" s="188"/>
      <c r="E153" s="221">
        <f>BL145</f>
        <v>0.25</v>
      </c>
      <c r="F153" s="190">
        <f>IF($D$4=2025,1,0)</f>
        <v>0</v>
      </c>
      <c r="G153" s="178">
        <f>IF($B154="Yes",$C$5,$I155)</f>
        <v>12</v>
      </c>
      <c r="H153" s="191">
        <f>VLOOKUP(H154,'Lookup Tables'!$A$22:$B$33,2,FALSE)</f>
        <v>3</v>
      </c>
      <c r="I153" s="192">
        <f>VLOOKUP($E$4,'Lookup Tables'!$AB$46:$AN$58,MATCH($H153,'Lookup Tables'!$AB$46:$AN$46),FALSE)</f>
        <v>12</v>
      </c>
      <c r="J153" s="190">
        <f>12-I153</f>
        <v>0</v>
      </c>
      <c r="K153" s="190">
        <f>IF(G153&lt;J153,G153,J153)</f>
        <v>0</v>
      </c>
      <c r="L153" s="195">
        <f>IF(12-I153&gt;=1,1,0)</f>
        <v>0</v>
      </c>
      <c r="M153" s="202">
        <f>((('Rate Tables'!$E34*$E153)*PersonCalcYr3!$K153)*L153)*$F153</f>
        <v>0</v>
      </c>
      <c r="N153" s="197">
        <f>G153-(J153*L153)</f>
        <v>12</v>
      </c>
      <c r="O153" s="178"/>
      <c r="P153" s="197">
        <f>IF(N153&lt;0,N153*0,1)*N153</f>
        <v>12</v>
      </c>
      <c r="Q153" s="198">
        <f>VLOOKUP(H154,'Lookup Tables'!$A$22:$B$33,2,FALSE)+(K153*L153)</f>
        <v>3</v>
      </c>
      <c r="R153" s="199" t="str">
        <f>VLOOKUP(Q153,'Lookup Tables'!$A$38:$B$151,2,FALSE)</f>
        <v>Sept</v>
      </c>
      <c r="S153" s="191">
        <f>VLOOKUP(R153,'Lookup Tables'!$A$22:$B$33,2,FALSE)</f>
        <v>3</v>
      </c>
      <c r="T153" s="672">
        <f>VLOOKUP($E$4,'Lookup Tables'!$AQ$46:$BC$58,MATCH(PersonCalcYr3!$S153,'Lookup Tables'!$AQ$46:$BC$46),FALSE)</f>
        <v>10</v>
      </c>
      <c r="U153" s="190">
        <f>IF(P153&lt;T153,P153,T153)</f>
        <v>10</v>
      </c>
      <c r="V153" s="195">
        <f>IF((U153)&lt;=0,0,1)</f>
        <v>1</v>
      </c>
      <c r="W153" s="202">
        <f>(('Rate Tables'!$F34*$E153)*PersonCalcYr3!$U153)*$V153*$F153</f>
        <v>0</v>
      </c>
      <c r="X153" s="197">
        <f>P153-(U153*V153)</f>
        <v>2</v>
      </c>
      <c r="Y153" s="178"/>
      <c r="Z153" s="178"/>
      <c r="AA153" s="178"/>
      <c r="AB153" s="197">
        <f>IF(X153&lt;0,X153*0,1)*X153</f>
        <v>2</v>
      </c>
      <c r="AC153" s="203">
        <f>S153+(U153*V153)</f>
        <v>13</v>
      </c>
      <c r="AD153" s="199" t="str">
        <f>VLOOKUP(AC153,'Lookup Tables'!$A$38:$B$151,2,FALSE)</f>
        <v>July</v>
      </c>
      <c r="AE153" s="191">
        <f>VLOOKUP(AD153,'Lookup Tables'!$A$22:$B$33,2,FALSE)</f>
        <v>1</v>
      </c>
      <c r="AF153" s="222">
        <f>VLOOKUP($AE153,'Lookup Tables'!$AC$3:$AW$16,MATCH(PersonCalcYr3!$AB153,'Lookup Tables'!$AC$3:$AW$3),FALSE)</f>
        <v>2</v>
      </c>
      <c r="AG153" s="190">
        <f>IF(AB153&lt;AF153,AB153,AF153)</f>
        <v>2</v>
      </c>
      <c r="AH153" s="195">
        <f>IF((AG153)&lt;=0,0,1)</f>
        <v>1</v>
      </c>
      <c r="AI153" s="202">
        <f>(('Rate Tables'!$G34*$E153)*PersonCalcYr3!AG153)*AH153*$F153</f>
        <v>0</v>
      </c>
      <c r="AJ153" s="197">
        <f>AB153-(AG153*AH153)</f>
        <v>0</v>
      </c>
      <c r="AK153" s="178"/>
      <c r="AL153" s="178"/>
      <c r="AM153" s="197">
        <f>IF(AJ153&lt;0,AJ153*0,1)*AJ153</f>
        <v>0</v>
      </c>
      <c r="AN153" s="203">
        <f>AE153+(AG153*AH153)</f>
        <v>3</v>
      </c>
      <c r="AO153" s="199" t="str">
        <f>VLOOKUP(AN153,'Lookup Tables'!$A$38:$B$151,2,FALSE)</f>
        <v>Sept</v>
      </c>
      <c r="AP153" s="191">
        <f>VLOOKUP(AO153,'Lookup Tables'!$A$22:$B$33,2,FALSE)</f>
        <v>3</v>
      </c>
      <c r="AQ153" s="222">
        <f>VLOOKUP($AP153,'Lookup Tables'!$AC$3:$AW$16,MATCH(PersonCalcYr3!$AM153,'Lookup Tables'!$AC$3:$AW$3),FALSE)</f>
        <v>0</v>
      </c>
      <c r="AR153" s="190">
        <f>IF(AM153&lt;AQ153,AM153,AQ153)</f>
        <v>0</v>
      </c>
      <c r="AS153" s="195">
        <f>IF((AR153)&lt;=0,0,1)</f>
        <v>0</v>
      </c>
      <c r="AT153" s="202">
        <f>(('Rate Tables'!$H34*$E153)*PersonCalcYr3!AR153)*AS153*$F153</f>
        <v>0</v>
      </c>
      <c r="AU153" s="197">
        <f>AM153-(AR153*AS153)</f>
        <v>0</v>
      </c>
      <c r="AV153" s="202"/>
      <c r="AW153" s="202"/>
      <c r="AX153" s="197">
        <f>IF(AU153&lt;0,AU153*0,1)*AU153</f>
        <v>0</v>
      </c>
      <c r="AY153" s="203">
        <f>AP153+(AR153*AS153)</f>
        <v>3</v>
      </c>
      <c r="AZ153" s="199" t="str">
        <f>VLOOKUP(AY153,'Lookup Tables'!$A$38:$B$151,2,FALSE)</f>
        <v>Sept</v>
      </c>
      <c r="BA153" s="191">
        <f>VLOOKUP(AZ153,'Lookup Tables'!$A$22:$B$33,2,FALSE)</f>
        <v>3</v>
      </c>
      <c r="BB153" s="222">
        <f>VLOOKUP($BA153,'Lookup Tables'!$AC$3:$AW$16,MATCH(PersonCalcYr3!$AX153,'Lookup Tables'!$AC$3:$AW$3),FALSE)</f>
        <v>0</v>
      </c>
      <c r="BC153" s="190">
        <f>IF(AX153&lt;BB153,AX153,BB153)</f>
        <v>0</v>
      </c>
      <c r="BD153" s="195">
        <f>IF((BC153)&lt;=0,0,1)</f>
        <v>0</v>
      </c>
      <c r="BE153" s="202">
        <f>(('Rate Tables'!$I34*$E153)*PersonCalcYr3!BC153)*BD153*$F153</f>
        <v>0</v>
      </c>
      <c r="BF153" s="197">
        <f>AX153-(BC153*BD153)</f>
        <v>0</v>
      </c>
      <c r="BG153" s="202"/>
      <c r="BH153" s="202"/>
      <c r="BI153" s="202"/>
      <c r="BJ153" s="178"/>
      <c r="BK153" s="311"/>
      <c r="BL153" s="12"/>
      <c r="BM153" s="227"/>
      <c r="BN153" s="275"/>
      <c r="BO153" s="12"/>
    </row>
    <row r="154" spans="1:67" ht="15.75" thickBot="1" x14ac:dyDescent="0.3">
      <c r="A154" s="377" t="s">
        <v>431</v>
      </c>
      <c r="B154" s="375" t="str">
        <f>Personnel!U44</f>
        <v>YES</v>
      </c>
      <c r="C154" s="12"/>
      <c r="D154" s="178"/>
      <c r="E154" s="178"/>
      <c r="F154" s="178"/>
      <c r="G154" s="178" t="s">
        <v>430</v>
      </c>
      <c r="H154" s="178" t="str">
        <f>IF(B154="yes",$C$4,A156)</f>
        <v>Sept</v>
      </c>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78"/>
      <c r="BG154" s="178"/>
      <c r="BH154" s="178"/>
      <c r="BI154" s="178"/>
      <c r="BJ154" s="178"/>
      <c r="BK154" s="227"/>
      <c r="BL154" s="12"/>
      <c r="BM154" s="278" t="s">
        <v>415</v>
      </c>
      <c r="BN154" s="279">
        <f>BN145*BN149</f>
        <v>0</v>
      </c>
      <c r="BO154" s="398">
        <f>BN145+BN154+BO149</f>
        <v>0</v>
      </c>
    </row>
    <row r="155" spans="1:67" x14ac:dyDescent="0.25">
      <c r="A155" s="296" t="s">
        <v>439</v>
      </c>
      <c r="B155" s="114" t="s">
        <v>427</v>
      </c>
      <c r="C155" s="12"/>
      <c r="D155" s="178"/>
      <c r="E155" s="178"/>
      <c r="F155" s="178"/>
      <c r="G155" s="818" t="s">
        <v>665</v>
      </c>
      <c r="H155" s="11">
        <f>IF(H156&lt;$C$5,H156,$C$5)</f>
        <v>12</v>
      </c>
      <c r="I155" s="178">
        <f>IF(B156&lt;=H156,B156,H156)</f>
        <v>0</v>
      </c>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227"/>
      <c r="BL155" s="12"/>
      <c r="BM155" s="278"/>
      <c r="BN155" s="284"/>
      <c r="BO155" s="399"/>
    </row>
    <row r="156" spans="1:67" x14ac:dyDescent="0.25">
      <c r="A156" s="397">
        <f>Personnel!U45</f>
        <v>0</v>
      </c>
      <c r="B156" s="273">
        <f>Personnel!U46</f>
        <v>0</v>
      </c>
      <c r="C156" s="12"/>
      <c r="D156" s="178"/>
      <c r="E156" s="178"/>
      <c r="F156" s="178"/>
      <c r="G156" s="818" t="s">
        <v>555</v>
      </c>
      <c r="H156" s="175">
        <f>VLOOKUP($E$4,'Lookup Tables'!$L$46:$AA$58,MATCH($H$147,'Lookup Tables'!$L$46:$X$46),FALSE)</f>
        <v>12</v>
      </c>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c r="BG156" s="178"/>
      <c r="BH156" s="178"/>
      <c r="BI156" s="178"/>
      <c r="BJ156" s="178"/>
      <c r="BK156" s="227"/>
      <c r="BL156" s="12"/>
      <c r="BM156" s="278"/>
      <c r="BN156" s="284"/>
      <c r="BO156" s="369"/>
    </row>
    <row r="157" spans="1:67" ht="15.75" thickBot="1" x14ac:dyDescent="0.3">
      <c r="A157" s="297"/>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c r="BI157" s="149"/>
      <c r="BJ157" s="149"/>
      <c r="BK157" s="280"/>
      <c r="BL157" s="149"/>
      <c r="BM157" s="149"/>
      <c r="BN157" s="281"/>
      <c r="BO157" s="149"/>
    </row>
    <row r="158" spans="1:67" ht="26.25" x14ac:dyDescent="0.25">
      <c r="A158" s="298" t="s">
        <v>174</v>
      </c>
      <c r="B158" s="294" t="s">
        <v>176</v>
      </c>
      <c r="C158" s="180" t="s">
        <v>606</v>
      </c>
      <c r="D158" s="179"/>
      <c r="E158" s="218"/>
      <c r="F158" s="218"/>
      <c r="G158" s="181"/>
      <c r="H158" s="181"/>
      <c r="I158" s="181"/>
      <c r="J158" s="181"/>
      <c r="K158" s="181"/>
      <c r="L158" s="181"/>
      <c r="M158" s="181"/>
      <c r="N158" s="181"/>
      <c r="O158" s="181"/>
      <c r="P158" s="181"/>
      <c r="Q158" s="181"/>
      <c r="R158" s="181"/>
      <c r="S158" s="181"/>
      <c r="T158" s="181"/>
      <c r="U158" s="181"/>
      <c r="V158" s="181"/>
      <c r="W158" s="181"/>
      <c r="X158" s="181"/>
      <c r="Y158" s="181"/>
      <c r="Z158" s="493">
        <v>44378</v>
      </c>
      <c r="AA158" s="493">
        <v>44742</v>
      </c>
      <c r="AB158" s="181"/>
      <c r="AC158" s="181"/>
      <c r="AD158" s="181"/>
      <c r="AE158" s="181"/>
      <c r="AF158" s="181"/>
      <c r="AG158" s="181"/>
      <c r="AH158" s="181"/>
      <c r="AI158" s="181"/>
      <c r="AJ158" s="181"/>
      <c r="AK158" s="181"/>
      <c r="AL158" s="181"/>
      <c r="AM158" s="181"/>
      <c r="AN158" s="181"/>
      <c r="AO158" s="181"/>
      <c r="AP158" s="181"/>
      <c r="AQ158" s="181"/>
      <c r="AR158" s="181"/>
      <c r="AS158" s="181"/>
      <c r="AT158" s="181"/>
      <c r="AU158" s="181"/>
      <c r="AV158" s="181"/>
      <c r="AW158" s="181"/>
      <c r="AX158" s="181"/>
      <c r="AY158" s="181"/>
      <c r="AZ158" s="181"/>
      <c r="BA158" s="181"/>
      <c r="BB158" s="181"/>
      <c r="BC158" s="181"/>
      <c r="BD158" s="181"/>
      <c r="BE158" s="181"/>
      <c r="BF158" s="181"/>
      <c r="BG158" s="181"/>
      <c r="BH158" s="181"/>
      <c r="BI158" s="181"/>
      <c r="BJ158" s="181"/>
      <c r="BK158" s="282"/>
      <c r="BL158" s="144"/>
      <c r="BM158" s="144"/>
      <c r="BN158" s="283"/>
      <c r="BO158" s="12"/>
    </row>
    <row r="159" spans="1:67" x14ac:dyDescent="0.25">
      <c r="A159" s="345">
        <f>Personnel!C50</f>
        <v>0</v>
      </c>
      <c r="B159" s="346" t="str">
        <f>Personnel!C49</f>
        <v>Prof/Admin</v>
      </c>
      <c r="C159" s="347">
        <f>Personnel!C51</f>
        <v>0</v>
      </c>
      <c r="D159" s="188"/>
      <c r="E159" s="205"/>
      <c r="F159" s="205"/>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8"/>
      <c r="BK159" s="306" t="s">
        <v>413</v>
      </c>
      <c r="BL159" s="348">
        <f>Personnel!W49</f>
        <v>0.2</v>
      </c>
      <c r="BM159" s="278" t="s">
        <v>96</v>
      </c>
      <c r="BN159" s="279">
        <f>(M161+W161+AI161+AT161+BE161+M163+W163+AI163+AT163+BE163+M165+W165+AI165+AT165+BE165+M167+W167++AI167+AT167+BE167)*BL162</f>
        <v>0</v>
      </c>
      <c r="BO159" s="369"/>
    </row>
    <row r="160" spans="1:67" x14ac:dyDescent="0.25">
      <c r="A160" s="296"/>
      <c r="B160" s="12"/>
      <c r="C160" s="117" t="s">
        <v>30</v>
      </c>
      <c r="D160" s="182"/>
      <c r="E160" s="153"/>
      <c r="F160" s="153" t="s">
        <v>42</v>
      </c>
      <c r="G160" s="153" t="s">
        <v>41</v>
      </c>
      <c r="H160" s="183" t="s">
        <v>77</v>
      </c>
      <c r="I160" s="219" t="s">
        <v>50</v>
      </c>
      <c r="J160" s="153" t="s">
        <v>52</v>
      </c>
      <c r="K160" s="153" t="s">
        <v>35</v>
      </c>
      <c r="L160" s="153" t="s">
        <v>82</v>
      </c>
      <c r="M160" s="153" t="s">
        <v>31</v>
      </c>
      <c r="N160" s="153" t="s">
        <v>69</v>
      </c>
      <c r="O160" s="178"/>
      <c r="P160" s="153" t="s">
        <v>72</v>
      </c>
      <c r="Q160" s="183" t="s">
        <v>80</v>
      </c>
      <c r="R160" s="187" t="s">
        <v>81</v>
      </c>
      <c r="S160" s="183" t="s">
        <v>77</v>
      </c>
      <c r="T160" s="673" t="s">
        <v>107</v>
      </c>
      <c r="U160" s="153" t="s">
        <v>53</v>
      </c>
      <c r="V160" s="153" t="s">
        <v>82</v>
      </c>
      <c r="W160" s="153" t="s">
        <v>32</v>
      </c>
      <c r="X160" s="153" t="s">
        <v>69</v>
      </c>
      <c r="Y160" s="178"/>
      <c r="Z160" s="178"/>
      <c r="AA160" s="178"/>
      <c r="AB160" s="153" t="s">
        <v>72</v>
      </c>
      <c r="AC160" s="153" t="s">
        <v>80</v>
      </c>
      <c r="AD160" s="187" t="s">
        <v>81</v>
      </c>
      <c r="AE160" s="183" t="s">
        <v>77</v>
      </c>
      <c r="AF160" s="220" t="s">
        <v>107</v>
      </c>
      <c r="AG160" s="153" t="s">
        <v>78</v>
      </c>
      <c r="AH160" s="153" t="s">
        <v>82</v>
      </c>
      <c r="AI160" s="153" t="s">
        <v>33</v>
      </c>
      <c r="AJ160" s="153" t="s">
        <v>69</v>
      </c>
      <c r="AK160" s="178"/>
      <c r="AL160" s="178"/>
      <c r="AM160" s="153" t="s">
        <v>72</v>
      </c>
      <c r="AN160" s="153" t="s">
        <v>80</v>
      </c>
      <c r="AO160" s="187" t="s">
        <v>81</v>
      </c>
      <c r="AP160" s="183" t="s">
        <v>77</v>
      </c>
      <c r="AQ160" s="220" t="s">
        <v>107</v>
      </c>
      <c r="AR160" s="153" t="s">
        <v>78</v>
      </c>
      <c r="AS160" s="153" t="s">
        <v>82</v>
      </c>
      <c r="AT160" s="153" t="s">
        <v>33</v>
      </c>
      <c r="AU160" s="153" t="s">
        <v>69</v>
      </c>
      <c r="AV160" s="153"/>
      <c r="AW160" s="153"/>
      <c r="AX160" s="153" t="s">
        <v>72</v>
      </c>
      <c r="AY160" s="153" t="s">
        <v>80</v>
      </c>
      <c r="AZ160" s="187" t="s">
        <v>81</v>
      </c>
      <c r="BA160" s="183" t="s">
        <v>77</v>
      </c>
      <c r="BB160" s="220" t="s">
        <v>107</v>
      </c>
      <c r="BC160" s="153" t="s">
        <v>78</v>
      </c>
      <c r="BD160" s="153" t="s">
        <v>82</v>
      </c>
      <c r="BE160" s="153" t="s">
        <v>33</v>
      </c>
      <c r="BF160" s="153" t="s">
        <v>69</v>
      </c>
      <c r="BG160" s="153"/>
      <c r="BH160" s="153"/>
      <c r="BI160" s="153"/>
      <c r="BJ160" s="178"/>
      <c r="BK160" s="227"/>
      <c r="BL160" s="12"/>
      <c r="BM160" s="227"/>
      <c r="BN160" s="275"/>
      <c r="BO160" s="12" t="s">
        <v>418</v>
      </c>
    </row>
    <row r="161" spans="1:67" x14ac:dyDescent="0.25">
      <c r="A161" s="296"/>
      <c r="B161" s="12"/>
      <c r="C161" s="115"/>
      <c r="D161" s="188"/>
      <c r="E161" s="221">
        <f>BL159</f>
        <v>0.2</v>
      </c>
      <c r="F161" s="190">
        <f>IF($D$4=2022,1,0)</f>
        <v>0</v>
      </c>
      <c r="G161" s="178">
        <f>IF($B168="Yes",$C$5,$I169)</f>
        <v>12</v>
      </c>
      <c r="H161" s="191">
        <f>VLOOKUP(H168,'Lookup Tables'!$A$22:$B$33,2,FALSE)</f>
        <v>3</v>
      </c>
      <c r="I161" s="192">
        <f>VLOOKUP($E$4,'Lookup Tables'!$AB$46:$AN$58,MATCH($H161,'Lookup Tables'!$AB$46:$AN$46),FALSE)</f>
        <v>12</v>
      </c>
      <c r="J161" s="190">
        <f>12-I161</f>
        <v>0</v>
      </c>
      <c r="K161" s="190">
        <f>IF(G161&lt;J161,G161,J161)</f>
        <v>0</v>
      </c>
      <c r="L161" s="195">
        <f>IF(12-I161&gt;=1,1,0)</f>
        <v>0</v>
      </c>
      <c r="M161" s="202">
        <f>((('Rate Tables'!$B39*$E161)*PersonCalcYr3!$K161)*L161)*$F161</f>
        <v>0</v>
      </c>
      <c r="N161" s="197">
        <f>G161-(J161*L161)</f>
        <v>12</v>
      </c>
      <c r="O161" s="178"/>
      <c r="P161" s="197">
        <f>IF(N161&lt;0,N161*0,1)*N161</f>
        <v>12</v>
      </c>
      <c r="Q161" s="198">
        <f>VLOOKUP(H168,'Lookup Tables'!$A$22:$B$33,2,FALSE)+(K161*L161)</f>
        <v>3</v>
      </c>
      <c r="R161" s="199" t="str">
        <f>VLOOKUP(Q161,'Lookup Tables'!$A$38:$B$151,2,FALSE)</f>
        <v>Sept</v>
      </c>
      <c r="S161" s="191">
        <f>VLOOKUP(R161,'Lookup Tables'!$A$22:$B$33,2,FALSE)</f>
        <v>3</v>
      </c>
      <c r="T161" s="672">
        <f>VLOOKUP($E$4,'Lookup Tables'!$AQ$46:$BC$58,MATCH(PersonCalcYr3!$S161,'Lookup Tables'!$AQ$46:$BC$46),FALSE)</f>
        <v>10</v>
      </c>
      <c r="U161" s="190">
        <f>IF(P161&lt;T161,P161,T161)</f>
        <v>10</v>
      </c>
      <c r="V161" s="195">
        <f>IF((U161)&lt;=0,0,1)</f>
        <v>1</v>
      </c>
      <c r="W161" s="202">
        <f>(('Rate Tables'!$C39*$E161)*PersonCalcYr3!$U161)*$V161*$F161</f>
        <v>0</v>
      </c>
      <c r="X161" s="197">
        <f>P161-(U161*V161)</f>
        <v>2</v>
      </c>
      <c r="Y161" s="178"/>
      <c r="Z161" s="178"/>
      <c r="AA161" s="178"/>
      <c r="AB161" s="197">
        <f>IF(X161&lt;0,X161*0,1)*X161</f>
        <v>2</v>
      </c>
      <c r="AC161" s="203">
        <f>S161+(U161*V161)</f>
        <v>13</v>
      </c>
      <c r="AD161" s="199" t="str">
        <f>VLOOKUP(AC161,'Lookup Tables'!$A$38:$B$151,2,FALSE)</f>
        <v>July</v>
      </c>
      <c r="AE161" s="191">
        <f>VLOOKUP(AD161,'Lookup Tables'!$A$22:$B$33,2,FALSE)</f>
        <v>1</v>
      </c>
      <c r="AF161" s="222">
        <f>VLOOKUP($AE161,'Lookup Tables'!$AC$3:$AW$16,MATCH(PersonCalcYr3!$AB161,'Lookup Tables'!$AC$3:$AW$3),FALSE)</f>
        <v>2</v>
      </c>
      <c r="AG161" s="190">
        <f>IF(AB161&lt;AF161,AB161,AF161)</f>
        <v>2</v>
      </c>
      <c r="AH161" s="195">
        <f>IF((AG161)&lt;=0,0,1)</f>
        <v>1</v>
      </c>
      <c r="AI161" s="202">
        <f>(('Rate Tables'!$D39*$E161)*PersonCalcYr3!AG161)*AH161*$F161</f>
        <v>0</v>
      </c>
      <c r="AJ161" s="197">
        <f>AB161-(AG161*AH161)</f>
        <v>0</v>
      </c>
      <c r="AK161" s="178"/>
      <c r="AL161" s="178"/>
      <c r="AM161" s="197">
        <f>IF(AJ161&lt;0,AJ161*0,1)*AJ161</f>
        <v>0</v>
      </c>
      <c r="AN161" s="203">
        <f>AE161+(AG161*AH161)</f>
        <v>3</v>
      </c>
      <c r="AO161" s="199" t="str">
        <f>VLOOKUP(AN161,'Lookup Tables'!$A$38:$B$151,2,FALSE)</f>
        <v>Sept</v>
      </c>
      <c r="AP161" s="191">
        <f>VLOOKUP(AO161,'Lookup Tables'!$A$22:$B$33,2,FALSE)</f>
        <v>3</v>
      </c>
      <c r="AQ161" s="222">
        <f>VLOOKUP($AP161,'Lookup Tables'!$AC$3:$AW$16,MATCH(PersonCalcYr3!$AM161,'Lookup Tables'!$AC$3:$AW$3),FALSE)</f>
        <v>0</v>
      </c>
      <c r="AR161" s="190">
        <f>IF(AM161&lt;AQ161,AM161,AQ161)</f>
        <v>0</v>
      </c>
      <c r="AS161" s="195">
        <f>IF((AR161)&lt;=0,0,1)</f>
        <v>0</v>
      </c>
      <c r="AT161" s="202">
        <f>(('Rate Tables'!$E39*$E161)*PersonCalcYr3!AR161)*AS161*$F161</f>
        <v>0</v>
      </c>
      <c r="AU161" s="197">
        <f>AM161-(AR161*AS161)</f>
        <v>0</v>
      </c>
      <c r="AV161" s="202"/>
      <c r="AW161" s="202"/>
      <c r="AX161" s="197">
        <f>IF(AU161&lt;0,AU161*0,1)*AU161</f>
        <v>0</v>
      </c>
      <c r="AY161" s="203">
        <f>AP161+(AR161*AS161)</f>
        <v>3</v>
      </c>
      <c r="AZ161" s="199" t="str">
        <f>VLOOKUP(AY161,'Lookup Tables'!$A$38:$B$151,2,FALSE)</f>
        <v>Sept</v>
      </c>
      <c r="BA161" s="191">
        <f>VLOOKUP(AZ161,'Lookup Tables'!$A$22:$B$33,2,FALSE)</f>
        <v>3</v>
      </c>
      <c r="BB161" s="222">
        <f>VLOOKUP($BA161,'Lookup Tables'!$AC$3:$AW$16,MATCH(PersonCalcYr3!$AX161,'Lookup Tables'!$AC$3:$AW$3),FALSE)</f>
        <v>0</v>
      </c>
      <c r="BC161" s="190">
        <f>IF(AX161&lt;BB161,AX161,BB161)</f>
        <v>0</v>
      </c>
      <c r="BD161" s="195">
        <f>IF((BC161)&lt;=0,0,1)</f>
        <v>0</v>
      </c>
      <c r="BE161" s="202">
        <f>(('Rate Tables'!$F39*$E161)*PersonCalcYr3!BC161)*BD161*$F161</f>
        <v>0</v>
      </c>
      <c r="BF161" s="197">
        <f>AX161-(BC161*BD161)</f>
        <v>0</v>
      </c>
      <c r="BG161" s="202"/>
      <c r="BH161" s="202"/>
      <c r="BI161" s="202"/>
      <c r="BJ161" s="178"/>
      <c r="BK161" s="227"/>
      <c r="BL161" s="12"/>
      <c r="BM161" s="227" t="s">
        <v>451</v>
      </c>
      <c r="BN161" s="275">
        <f>(VLOOKUP($B159,'Rate Tables'!$O$2:$P$8,2,FALSE))</f>
        <v>0.3226</v>
      </c>
      <c r="BO161" s="372">
        <f>VLOOKUP('F&amp;ARatesCalc'!$B$1,'F&amp;ARatesCalc'!$A$3:$B$5,2,FALSE)</f>
        <v>0.56999999999999995</v>
      </c>
    </row>
    <row r="162" spans="1:67" x14ac:dyDescent="0.25">
      <c r="A162" s="296"/>
      <c r="B162" s="12"/>
      <c r="C162" s="117" t="s">
        <v>597</v>
      </c>
      <c r="D162" s="182"/>
      <c r="E162" s="153"/>
      <c r="F162" s="153" t="s">
        <v>42</v>
      </c>
      <c r="G162" s="153" t="s">
        <v>41</v>
      </c>
      <c r="H162" s="183" t="s">
        <v>77</v>
      </c>
      <c r="I162" s="219" t="s">
        <v>51</v>
      </c>
      <c r="J162" s="153" t="s">
        <v>110</v>
      </c>
      <c r="K162" s="153" t="s">
        <v>53</v>
      </c>
      <c r="L162" s="153" t="s">
        <v>82</v>
      </c>
      <c r="M162" s="153" t="s">
        <v>32</v>
      </c>
      <c r="N162" s="153" t="s">
        <v>69</v>
      </c>
      <c r="O162" s="178"/>
      <c r="P162" s="153" t="s">
        <v>72</v>
      </c>
      <c r="Q162" s="183" t="s">
        <v>80</v>
      </c>
      <c r="R162" s="187" t="s">
        <v>81</v>
      </c>
      <c r="S162" s="183" t="s">
        <v>77</v>
      </c>
      <c r="T162" s="673" t="s">
        <v>107</v>
      </c>
      <c r="U162" s="153" t="s">
        <v>78</v>
      </c>
      <c r="V162" s="153" t="s">
        <v>82</v>
      </c>
      <c r="W162" s="153" t="s">
        <v>33</v>
      </c>
      <c r="X162" s="153" t="s">
        <v>69</v>
      </c>
      <c r="Y162" s="178"/>
      <c r="Z162" s="178"/>
      <c r="AA162" s="178"/>
      <c r="AB162" s="153" t="s">
        <v>72</v>
      </c>
      <c r="AC162" s="153" t="s">
        <v>80</v>
      </c>
      <c r="AD162" s="187" t="s">
        <v>81</v>
      </c>
      <c r="AE162" s="183" t="s">
        <v>77</v>
      </c>
      <c r="AF162" s="220" t="s">
        <v>107</v>
      </c>
      <c r="AG162" s="153" t="s">
        <v>79</v>
      </c>
      <c r="AH162" s="153" t="s">
        <v>82</v>
      </c>
      <c r="AI162" s="153" t="s">
        <v>34</v>
      </c>
      <c r="AJ162" s="153" t="s">
        <v>69</v>
      </c>
      <c r="AK162" s="178"/>
      <c r="AL162" s="178"/>
      <c r="AM162" s="153" t="s">
        <v>72</v>
      </c>
      <c r="AN162" s="153" t="s">
        <v>80</v>
      </c>
      <c r="AO162" s="187" t="s">
        <v>81</v>
      </c>
      <c r="AP162" s="183" t="s">
        <v>77</v>
      </c>
      <c r="AQ162" s="220" t="s">
        <v>107</v>
      </c>
      <c r="AR162" s="153" t="s">
        <v>79</v>
      </c>
      <c r="AS162" s="153" t="s">
        <v>82</v>
      </c>
      <c r="AT162" s="153" t="s">
        <v>34</v>
      </c>
      <c r="AU162" s="153" t="s">
        <v>69</v>
      </c>
      <c r="AV162" s="153"/>
      <c r="AW162" s="153"/>
      <c r="AX162" s="153" t="s">
        <v>72</v>
      </c>
      <c r="AY162" s="153" t="s">
        <v>80</v>
      </c>
      <c r="AZ162" s="187" t="s">
        <v>81</v>
      </c>
      <c r="BA162" s="183" t="s">
        <v>77</v>
      </c>
      <c r="BB162" s="220" t="s">
        <v>107</v>
      </c>
      <c r="BC162" s="153" t="s">
        <v>79</v>
      </c>
      <c r="BD162" s="153" t="s">
        <v>82</v>
      </c>
      <c r="BE162" s="153" t="s">
        <v>34</v>
      </c>
      <c r="BF162" s="153" t="s">
        <v>69</v>
      </c>
      <c r="BG162" s="153"/>
      <c r="BH162" s="153"/>
      <c r="BI162" s="153"/>
      <c r="BJ162" s="178"/>
      <c r="BK162" s="307" t="s">
        <v>450</v>
      </c>
      <c r="BL162" s="349">
        <f>IF(B159=0,0,1)</f>
        <v>1</v>
      </c>
      <c r="BM162" s="227" t="s">
        <v>452</v>
      </c>
      <c r="BN162" s="275">
        <f>_xlfn.IFNA(BN161,0)</f>
        <v>0.3226</v>
      </c>
      <c r="BO162" s="12" t="s">
        <v>417</v>
      </c>
    </row>
    <row r="163" spans="1:67" x14ac:dyDescent="0.25">
      <c r="A163" s="296"/>
      <c r="B163" s="12"/>
      <c r="C163" s="115"/>
      <c r="D163" s="188"/>
      <c r="E163" s="221">
        <f>BL159</f>
        <v>0.2</v>
      </c>
      <c r="F163" s="190">
        <f>IF($D$4=2023,1,0)</f>
        <v>0</v>
      </c>
      <c r="G163" s="178">
        <f>IF($B168="Yes",$C$5,$I169)</f>
        <v>12</v>
      </c>
      <c r="H163" s="191">
        <f>VLOOKUP(H168,'Lookup Tables'!$A$22:$B$33,2,FALSE)</f>
        <v>3</v>
      </c>
      <c r="I163" s="192">
        <f>VLOOKUP($E$4,'Lookup Tables'!$AB$46:$AN$58,MATCH($H163,'Lookup Tables'!$AB$46:$AN$46),FALSE)</f>
        <v>12</v>
      </c>
      <c r="J163" s="190">
        <f>12-I163</f>
        <v>0</v>
      </c>
      <c r="K163" s="190">
        <f>IF(G163&lt;J163,G163,J163)</f>
        <v>0</v>
      </c>
      <c r="L163" s="195">
        <f>IF(12-I163&gt;=1,1,0)</f>
        <v>0</v>
      </c>
      <c r="M163" s="202">
        <f>((('Rate Tables'!$C39*$E163)*PersonCalcYr3!$K163)*L163)*$F163</f>
        <v>0</v>
      </c>
      <c r="N163" s="197">
        <f>G163-(J163*L163)</f>
        <v>12</v>
      </c>
      <c r="O163" s="178"/>
      <c r="P163" s="197">
        <f>IF(N163&lt;0,N163*0,1)*N163</f>
        <v>12</v>
      </c>
      <c r="Q163" s="198">
        <f>VLOOKUP($H168,'Lookup Tables'!$A$22:$B$33,2,FALSE)+(K163*L163)</f>
        <v>3</v>
      </c>
      <c r="R163" s="199" t="str">
        <f>VLOOKUP(Q163,'Lookup Tables'!$A$38:$B$151,2,FALSE)</f>
        <v>Sept</v>
      </c>
      <c r="S163" s="191">
        <f>VLOOKUP(R163,'Lookup Tables'!$A$22:$B$33,2,FALSE)</f>
        <v>3</v>
      </c>
      <c r="T163" s="672">
        <f>VLOOKUP($E$4,'Lookup Tables'!$AQ$46:$BC$58,MATCH(PersonCalcYr3!$S163,'Lookup Tables'!$AQ$46:$BC$46),FALSE)</f>
        <v>10</v>
      </c>
      <c r="U163" s="190">
        <f>IF(P163&lt;T163,P163,T163)</f>
        <v>10</v>
      </c>
      <c r="V163" s="195">
        <f>IF((U163)&lt;=0,0,1)</f>
        <v>1</v>
      </c>
      <c r="W163" s="202">
        <f>(('Rate Tables'!$D39*$E163)*PersonCalcYr3!$U163)*$V163*$F163</f>
        <v>0</v>
      </c>
      <c r="X163" s="197">
        <f>P163-(U163*V163)</f>
        <v>2</v>
      </c>
      <c r="Y163" s="178"/>
      <c r="Z163" s="178"/>
      <c r="AA163" s="178"/>
      <c r="AB163" s="197">
        <f>IF(X163&lt;0,X163*0,1)*X163</f>
        <v>2</v>
      </c>
      <c r="AC163" s="203">
        <f>S163+(U163*V163)</f>
        <v>13</v>
      </c>
      <c r="AD163" s="199" t="str">
        <f>VLOOKUP(AC163,'Lookup Tables'!$A$38:$B$151,2,FALSE)</f>
        <v>July</v>
      </c>
      <c r="AE163" s="191">
        <f>VLOOKUP(AD163,'Lookup Tables'!$A$22:$B$33,2,FALSE)</f>
        <v>1</v>
      </c>
      <c r="AF163" s="222">
        <f>VLOOKUP($AE163,'Lookup Tables'!$AC$3:$AW$16,MATCH(PersonCalcYr3!$AB163,'Lookup Tables'!$AC$3:$AW$3),FALSE)</f>
        <v>2</v>
      </c>
      <c r="AG163" s="190">
        <f>IF(AB163&lt;AF163,AB163,AF163)</f>
        <v>2</v>
      </c>
      <c r="AH163" s="195">
        <f>IF((AG163)&lt;=0,0,1)</f>
        <v>1</v>
      </c>
      <c r="AI163" s="202">
        <f>(('Rate Tables'!$E39*$E163)*PersonCalcYr3!AG163)*AH163*$F163</f>
        <v>0</v>
      </c>
      <c r="AJ163" s="197">
        <f>AB163-(AG163*AH163)</f>
        <v>0</v>
      </c>
      <c r="AK163" s="178"/>
      <c r="AL163" s="178"/>
      <c r="AM163" s="197">
        <f>IF(AJ163&lt;0,AJ163*0,1)*AJ163</f>
        <v>0</v>
      </c>
      <c r="AN163" s="203">
        <f>AE163+(AG163*AH163)</f>
        <v>3</v>
      </c>
      <c r="AO163" s="199" t="str">
        <f>VLOOKUP(AN163,'Lookup Tables'!$A$38:$B$151,2,FALSE)</f>
        <v>Sept</v>
      </c>
      <c r="AP163" s="191">
        <f>VLOOKUP(AO163,'Lookup Tables'!$A$22:$B$33,2,FALSE)</f>
        <v>3</v>
      </c>
      <c r="AQ163" s="222">
        <f>VLOOKUP($AP163,'Lookup Tables'!$AC$3:$AW$16,MATCH(PersonCalcYr3!$AM163,'Lookup Tables'!$AC$3:$AW$3),FALSE)</f>
        <v>0</v>
      </c>
      <c r="AR163" s="190">
        <f>IF(AM163&lt;AQ163,AM163,AQ163)</f>
        <v>0</v>
      </c>
      <c r="AS163" s="195">
        <f>IF((AR163)&lt;=0,0,1)</f>
        <v>0</v>
      </c>
      <c r="AT163" s="202">
        <f>(('Rate Tables'!$F39*$E163)*PersonCalcYr3!AR163)*AS163*$F163</f>
        <v>0</v>
      </c>
      <c r="AU163" s="197">
        <f>AM163-(AR163*AS163)</f>
        <v>0</v>
      </c>
      <c r="AV163" s="202"/>
      <c r="AW163" s="202"/>
      <c r="AX163" s="197">
        <f>IF(AU163&lt;0,AU163*0,1)*AU163</f>
        <v>0</v>
      </c>
      <c r="AY163" s="203">
        <f>AP163+(AR163*AS163)</f>
        <v>3</v>
      </c>
      <c r="AZ163" s="199" t="str">
        <f>VLOOKUP(AY163,'Lookup Tables'!$A$38:$B$151,2,FALSE)</f>
        <v>Sept</v>
      </c>
      <c r="BA163" s="191">
        <f>VLOOKUP(AZ163,'Lookup Tables'!$A$22:$B$33,2,FALSE)</f>
        <v>3</v>
      </c>
      <c r="BB163" s="222">
        <f>VLOOKUP($BA163,'Lookup Tables'!$AC$3:$AW$16,MATCH(PersonCalcYr3!$AX163,'Lookup Tables'!$AC$3:$AW$3),FALSE)</f>
        <v>0</v>
      </c>
      <c r="BC163" s="190">
        <f>IF(AX163&lt;BB163,AX163,BB163)</f>
        <v>0</v>
      </c>
      <c r="BD163" s="195">
        <f>IF((BC163)&lt;=0,0,1)</f>
        <v>0</v>
      </c>
      <c r="BE163" s="202">
        <f>(('Rate Tables'!$G39*$E163)*PersonCalcYr3!BC163)*BD163*$F163</f>
        <v>0</v>
      </c>
      <c r="BF163" s="197">
        <f>AX163-(BC163*BD163)</f>
        <v>0</v>
      </c>
      <c r="BG163" s="202"/>
      <c r="BH163" s="202"/>
      <c r="BI163" s="202"/>
      <c r="BJ163" s="178"/>
      <c r="BK163" s="311"/>
      <c r="BL163" s="12"/>
      <c r="BM163" s="227" t="s">
        <v>453</v>
      </c>
      <c r="BN163" s="275">
        <f>IF(BN162=0,0,BN161)</f>
        <v>0.3226</v>
      </c>
      <c r="BO163" s="12">
        <f>(BN159+BN168)*BO161</f>
        <v>0</v>
      </c>
    </row>
    <row r="164" spans="1:67" x14ac:dyDescent="0.25">
      <c r="A164" s="296"/>
      <c r="B164" s="12"/>
      <c r="C164" s="117" t="s">
        <v>664</v>
      </c>
      <c r="D164" s="182"/>
      <c r="E164" s="153"/>
      <c r="F164" s="153" t="s">
        <v>42</v>
      </c>
      <c r="G164" s="153" t="s">
        <v>41</v>
      </c>
      <c r="H164" s="183" t="s">
        <v>77</v>
      </c>
      <c r="I164" s="219" t="s">
        <v>51</v>
      </c>
      <c r="J164" s="153" t="s">
        <v>110</v>
      </c>
      <c r="K164" s="153" t="s">
        <v>53</v>
      </c>
      <c r="L164" s="153" t="s">
        <v>82</v>
      </c>
      <c r="M164" s="153" t="s">
        <v>32</v>
      </c>
      <c r="N164" s="153" t="s">
        <v>69</v>
      </c>
      <c r="O164" s="178"/>
      <c r="P164" s="153" t="s">
        <v>72</v>
      </c>
      <c r="Q164" s="183" t="s">
        <v>80</v>
      </c>
      <c r="R164" s="187" t="s">
        <v>81</v>
      </c>
      <c r="S164" s="183" t="s">
        <v>77</v>
      </c>
      <c r="T164" s="673" t="s">
        <v>107</v>
      </c>
      <c r="U164" s="153" t="s">
        <v>78</v>
      </c>
      <c r="V164" s="153" t="s">
        <v>82</v>
      </c>
      <c r="W164" s="153" t="s">
        <v>33</v>
      </c>
      <c r="X164" s="153" t="s">
        <v>69</v>
      </c>
      <c r="Y164" s="178"/>
      <c r="Z164" s="178"/>
      <c r="AA164" s="178"/>
      <c r="AB164" s="153" t="s">
        <v>72</v>
      </c>
      <c r="AC164" s="153" t="s">
        <v>80</v>
      </c>
      <c r="AD164" s="187" t="s">
        <v>81</v>
      </c>
      <c r="AE164" s="183" t="s">
        <v>77</v>
      </c>
      <c r="AF164" s="220" t="s">
        <v>107</v>
      </c>
      <c r="AG164" s="153" t="s">
        <v>79</v>
      </c>
      <c r="AH164" s="153" t="s">
        <v>82</v>
      </c>
      <c r="AI164" s="153" t="s">
        <v>34</v>
      </c>
      <c r="AJ164" s="153" t="s">
        <v>69</v>
      </c>
      <c r="AK164" s="178"/>
      <c r="AL164" s="178"/>
      <c r="AM164" s="153" t="s">
        <v>72</v>
      </c>
      <c r="AN164" s="153" t="s">
        <v>80</v>
      </c>
      <c r="AO164" s="187" t="s">
        <v>81</v>
      </c>
      <c r="AP164" s="183" t="s">
        <v>77</v>
      </c>
      <c r="AQ164" s="220" t="s">
        <v>107</v>
      </c>
      <c r="AR164" s="153" t="s">
        <v>79</v>
      </c>
      <c r="AS164" s="153" t="s">
        <v>82</v>
      </c>
      <c r="AT164" s="153" t="s">
        <v>34</v>
      </c>
      <c r="AU164" s="153" t="s">
        <v>69</v>
      </c>
      <c r="AV164" s="202"/>
      <c r="AW164" s="202"/>
      <c r="AX164" s="153" t="s">
        <v>72</v>
      </c>
      <c r="AY164" s="153" t="s">
        <v>80</v>
      </c>
      <c r="AZ164" s="187" t="s">
        <v>81</v>
      </c>
      <c r="BA164" s="183" t="s">
        <v>77</v>
      </c>
      <c r="BB164" s="220" t="s">
        <v>107</v>
      </c>
      <c r="BC164" s="153" t="s">
        <v>79</v>
      </c>
      <c r="BD164" s="153" t="s">
        <v>82</v>
      </c>
      <c r="BE164" s="153" t="s">
        <v>34</v>
      </c>
      <c r="BF164" s="153" t="s">
        <v>69</v>
      </c>
      <c r="BG164" s="202"/>
      <c r="BH164" s="202"/>
      <c r="BI164" s="202"/>
      <c r="BJ164" s="178"/>
      <c r="BK164" s="311"/>
      <c r="BL164" s="12"/>
      <c r="BM164" s="227"/>
      <c r="BN164" s="275"/>
      <c r="BO164" s="12"/>
    </row>
    <row r="165" spans="1:67" x14ac:dyDescent="0.25">
      <c r="A165" s="296"/>
      <c r="B165" s="12"/>
      <c r="C165" s="115"/>
      <c r="D165" s="188"/>
      <c r="E165" s="221">
        <f>BL159</f>
        <v>0.2</v>
      </c>
      <c r="F165" s="190">
        <f>IF($D$4=2024,1,0)</f>
        <v>1</v>
      </c>
      <c r="G165" s="178">
        <f>IF($B168="Yes",$C$5,$I169)</f>
        <v>12</v>
      </c>
      <c r="H165" s="191">
        <f>VLOOKUP(H168,'Lookup Tables'!$A$22:$B$33,2,FALSE)</f>
        <v>3</v>
      </c>
      <c r="I165" s="192">
        <f>VLOOKUP($E$4,'Lookup Tables'!$AB$46:$AN$58,MATCH($H165,'Lookup Tables'!$AB$46:$AN$46),FALSE)</f>
        <v>12</v>
      </c>
      <c r="J165" s="190">
        <f>12-I165</f>
        <v>0</v>
      </c>
      <c r="K165" s="190">
        <f>IF(G165&lt;J165,G165,J165)</f>
        <v>0</v>
      </c>
      <c r="L165" s="195">
        <f>IF(12-I165&gt;=1,1,0)</f>
        <v>0</v>
      </c>
      <c r="M165" s="202">
        <f>((('Rate Tables'!$D39*$E165)*PersonCalcYr3!$K165)*L165)*$F165</f>
        <v>0</v>
      </c>
      <c r="N165" s="197">
        <f>G165-(J165*L165)</f>
        <v>12</v>
      </c>
      <c r="O165" s="178"/>
      <c r="P165" s="197">
        <f>IF(N165&lt;0,N165*0,1)*N165</f>
        <v>12</v>
      </c>
      <c r="Q165" s="198">
        <f>VLOOKUP($H168,'Lookup Tables'!$A$22:$B$33,2,FALSE)+(K165*L165)</f>
        <v>3</v>
      </c>
      <c r="R165" s="199" t="str">
        <f>VLOOKUP(Q165,'Lookup Tables'!$A$38:$B$151,2,FALSE)</f>
        <v>Sept</v>
      </c>
      <c r="S165" s="191">
        <f>VLOOKUP(R165,'Lookup Tables'!$A$22:$B$33,2,FALSE)</f>
        <v>3</v>
      </c>
      <c r="T165" s="672">
        <f>VLOOKUP($E$4,'Lookup Tables'!$AQ$46:$BC$58,MATCH(PersonCalcYr3!$S165,'Lookup Tables'!$AQ$46:$BC$46),FALSE)</f>
        <v>10</v>
      </c>
      <c r="U165" s="190">
        <f>IF(P165&lt;T165,P165,T165)</f>
        <v>10</v>
      </c>
      <c r="V165" s="195">
        <f>IF((U165)&lt;=0,0,1)</f>
        <v>1</v>
      </c>
      <c r="W165" s="202">
        <f>(('Rate Tables'!$E39*$E165)*PersonCalcYr3!$U165)*$V165*$F165</f>
        <v>0</v>
      </c>
      <c r="X165" s="197">
        <f>P165-(U165*V165)</f>
        <v>2</v>
      </c>
      <c r="Y165" s="178"/>
      <c r="Z165" s="178"/>
      <c r="AA165" s="178"/>
      <c r="AB165" s="197">
        <f>IF(X165&lt;0,X165*0,1)*X165</f>
        <v>2</v>
      </c>
      <c r="AC165" s="203">
        <f>S165+(U165*V165)</f>
        <v>13</v>
      </c>
      <c r="AD165" s="199" t="str">
        <f>VLOOKUP(AC165,'Lookup Tables'!$A$38:$B$151,2,FALSE)</f>
        <v>July</v>
      </c>
      <c r="AE165" s="191">
        <f>VLOOKUP(AD165,'Lookup Tables'!$A$22:$B$33,2,FALSE)</f>
        <v>1</v>
      </c>
      <c r="AF165" s="222">
        <f>VLOOKUP($AE165,'Lookup Tables'!$AC$3:$AW$16,MATCH(PersonCalcYr3!$AB165,'Lookup Tables'!$AC$3:$AW$3),FALSE)</f>
        <v>2</v>
      </c>
      <c r="AG165" s="190">
        <f>IF(AB165&lt;AF165,AB165,AF165)</f>
        <v>2</v>
      </c>
      <c r="AH165" s="195">
        <f>IF((AG165)&lt;=0,0,1)</f>
        <v>1</v>
      </c>
      <c r="AI165" s="202">
        <f>(('Rate Tables'!$F39*$E165)*PersonCalcYr3!AG165)*AH165*$F165</f>
        <v>0</v>
      </c>
      <c r="AJ165" s="197">
        <f>AB165-(AG165*AH165)</f>
        <v>0</v>
      </c>
      <c r="AK165" s="178"/>
      <c r="AL165" s="178"/>
      <c r="AM165" s="197">
        <f>IF(AJ165&lt;0,AJ165*0,1)*AJ165</f>
        <v>0</v>
      </c>
      <c r="AN165" s="203">
        <f>AE165+(AG165*AH165)</f>
        <v>3</v>
      </c>
      <c r="AO165" s="199" t="str">
        <f>VLOOKUP(AN165,'Lookup Tables'!$A$38:$B$151,2,FALSE)</f>
        <v>Sept</v>
      </c>
      <c r="AP165" s="191">
        <f>VLOOKUP(AO165,'Lookup Tables'!$A$22:$B$33,2,FALSE)</f>
        <v>3</v>
      </c>
      <c r="AQ165" s="222">
        <f>VLOOKUP($AP165,'Lookup Tables'!$AC$3:$AW$16,MATCH(PersonCalcYr3!$AM165,'Lookup Tables'!$AC$3:$AW$3),FALSE)</f>
        <v>0</v>
      </c>
      <c r="AR165" s="190">
        <f>IF(AM165&lt;AQ165,AM165,AQ165)</f>
        <v>0</v>
      </c>
      <c r="AS165" s="195">
        <f>IF((AR165)&lt;=0,0,1)</f>
        <v>0</v>
      </c>
      <c r="AT165" s="202">
        <f>(('Rate Tables'!$G39*$E165)*PersonCalcYr3!AR165)*AS165*$F165</f>
        <v>0</v>
      </c>
      <c r="AU165" s="197">
        <f>AM165-(AR165*AS165)</f>
        <v>0</v>
      </c>
      <c r="AV165" s="202"/>
      <c r="AW165" s="202"/>
      <c r="AX165" s="197">
        <f>IF(AU165&lt;0,AU165*0,1)*AU165</f>
        <v>0</v>
      </c>
      <c r="AY165" s="203">
        <f>AP165+(AR165*AS165)</f>
        <v>3</v>
      </c>
      <c r="AZ165" s="199" t="str">
        <f>VLOOKUP(AY165,'Lookup Tables'!$A$38:$B$151,2,FALSE)</f>
        <v>Sept</v>
      </c>
      <c r="BA165" s="191">
        <f>VLOOKUP(AZ165,'Lookup Tables'!$A$22:$B$33,2,FALSE)</f>
        <v>3</v>
      </c>
      <c r="BB165" s="222">
        <f>VLOOKUP($BA165,'Lookup Tables'!$AC$3:$AW$16,MATCH(PersonCalcYr3!$AX165,'Lookup Tables'!$AC$3:$AW$3),FALSE)</f>
        <v>0</v>
      </c>
      <c r="BC165" s="190">
        <f>IF(AX165&lt;BB165,AX165,BB165)</f>
        <v>0</v>
      </c>
      <c r="BD165" s="195">
        <f>IF((BC165)&lt;=0,0,1)</f>
        <v>0</v>
      </c>
      <c r="BE165" s="202">
        <f>(('Rate Tables'!$H39*$E165)*PersonCalcYr3!BC165)*BD165*$F165</f>
        <v>0</v>
      </c>
      <c r="BF165" s="197">
        <f>AX165-(BC165*BD165)</f>
        <v>0</v>
      </c>
      <c r="BG165" s="202"/>
      <c r="BH165" s="202"/>
      <c r="BI165" s="202"/>
      <c r="BJ165" s="178"/>
      <c r="BK165" s="311"/>
      <c r="BL165" s="12"/>
      <c r="BM165" s="227"/>
      <c r="BN165" s="275"/>
      <c r="BO165" s="12"/>
    </row>
    <row r="166" spans="1:67" x14ac:dyDescent="0.25">
      <c r="A166" s="296"/>
      <c r="B166" s="12"/>
      <c r="C166" s="819" t="s">
        <v>732</v>
      </c>
      <c r="D166" s="182"/>
      <c r="E166" s="153"/>
      <c r="F166" s="153" t="s">
        <v>42</v>
      </c>
      <c r="G166" s="153" t="s">
        <v>41</v>
      </c>
      <c r="H166" s="183" t="s">
        <v>77</v>
      </c>
      <c r="I166" s="219" t="s">
        <v>51</v>
      </c>
      <c r="J166" s="153" t="s">
        <v>110</v>
      </c>
      <c r="K166" s="153" t="s">
        <v>53</v>
      </c>
      <c r="L166" s="153" t="s">
        <v>82</v>
      </c>
      <c r="M166" s="153" t="s">
        <v>32</v>
      </c>
      <c r="N166" s="153" t="s">
        <v>69</v>
      </c>
      <c r="O166" s="178"/>
      <c r="P166" s="153" t="s">
        <v>72</v>
      </c>
      <c r="Q166" s="183" t="s">
        <v>80</v>
      </c>
      <c r="R166" s="187" t="s">
        <v>81</v>
      </c>
      <c r="S166" s="183" t="s">
        <v>77</v>
      </c>
      <c r="T166" s="673" t="s">
        <v>107</v>
      </c>
      <c r="U166" s="153" t="s">
        <v>78</v>
      </c>
      <c r="V166" s="153" t="s">
        <v>82</v>
      </c>
      <c r="W166" s="153" t="s">
        <v>33</v>
      </c>
      <c r="X166" s="153" t="s">
        <v>69</v>
      </c>
      <c r="Y166" s="178"/>
      <c r="Z166" s="178"/>
      <c r="AA166" s="178"/>
      <c r="AB166" s="153" t="s">
        <v>72</v>
      </c>
      <c r="AC166" s="153" t="s">
        <v>80</v>
      </c>
      <c r="AD166" s="187" t="s">
        <v>81</v>
      </c>
      <c r="AE166" s="183" t="s">
        <v>77</v>
      </c>
      <c r="AF166" s="220" t="s">
        <v>107</v>
      </c>
      <c r="AG166" s="153" t="s">
        <v>79</v>
      </c>
      <c r="AH166" s="153" t="s">
        <v>82</v>
      </c>
      <c r="AI166" s="153" t="s">
        <v>34</v>
      </c>
      <c r="AJ166" s="153" t="s">
        <v>69</v>
      </c>
      <c r="AK166" s="178"/>
      <c r="AL166" s="178"/>
      <c r="AM166" s="153" t="s">
        <v>72</v>
      </c>
      <c r="AN166" s="153" t="s">
        <v>80</v>
      </c>
      <c r="AO166" s="187" t="s">
        <v>81</v>
      </c>
      <c r="AP166" s="183" t="s">
        <v>77</v>
      </c>
      <c r="AQ166" s="220" t="s">
        <v>107</v>
      </c>
      <c r="AR166" s="153" t="s">
        <v>79</v>
      </c>
      <c r="AS166" s="153" t="s">
        <v>82</v>
      </c>
      <c r="AT166" s="153" t="s">
        <v>34</v>
      </c>
      <c r="AU166" s="153" t="s">
        <v>69</v>
      </c>
      <c r="AV166" s="202"/>
      <c r="AW166" s="202"/>
      <c r="AX166" s="153" t="s">
        <v>72</v>
      </c>
      <c r="AY166" s="153" t="s">
        <v>80</v>
      </c>
      <c r="AZ166" s="187" t="s">
        <v>81</v>
      </c>
      <c r="BA166" s="183" t="s">
        <v>77</v>
      </c>
      <c r="BB166" s="220" t="s">
        <v>107</v>
      </c>
      <c r="BC166" s="153" t="s">
        <v>79</v>
      </c>
      <c r="BD166" s="153" t="s">
        <v>82</v>
      </c>
      <c r="BE166" s="153" t="s">
        <v>34</v>
      </c>
      <c r="BF166" s="153" t="s">
        <v>69</v>
      </c>
      <c r="BG166" s="202"/>
      <c r="BH166" s="202"/>
      <c r="BI166" s="202"/>
      <c r="BJ166" s="178"/>
      <c r="BK166" s="311"/>
      <c r="BL166" s="12"/>
      <c r="BM166" s="227"/>
      <c r="BN166" s="275"/>
      <c r="BO166" s="12"/>
    </row>
    <row r="167" spans="1:67" ht="15.75" thickBot="1" x14ac:dyDescent="0.3">
      <c r="A167" s="296"/>
      <c r="B167" s="12"/>
      <c r="C167" s="115"/>
      <c r="D167" s="188"/>
      <c r="E167" s="221">
        <f>BL159</f>
        <v>0.2</v>
      </c>
      <c r="F167" s="190">
        <f>IF($D$4=2025,1,0)</f>
        <v>0</v>
      </c>
      <c r="G167" s="178">
        <f>IF($B168="Yes",$C$5,$I169)</f>
        <v>12</v>
      </c>
      <c r="H167" s="191">
        <f>VLOOKUP(H168,'Lookup Tables'!$A$22:$B$33,2,FALSE)</f>
        <v>3</v>
      </c>
      <c r="I167" s="192">
        <f>VLOOKUP($E$4,'Lookup Tables'!$AB$46:$AN$58,MATCH($H167,'Lookup Tables'!$AB$46:$AN$46),FALSE)</f>
        <v>12</v>
      </c>
      <c r="J167" s="190">
        <f>12-I167</f>
        <v>0</v>
      </c>
      <c r="K167" s="190">
        <f>IF(G167&lt;J167,G167,J167)</f>
        <v>0</v>
      </c>
      <c r="L167" s="195">
        <f>IF(12-I167&gt;=1,1,0)</f>
        <v>0</v>
      </c>
      <c r="M167" s="202">
        <f>((('Rate Tables'!$E39*$E167)*PersonCalcYr3!$K167)*L167)*$F167</f>
        <v>0</v>
      </c>
      <c r="N167" s="197">
        <f>G167-(J167*L167)</f>
        <v>12</v>
      </c>
      <c r="O167" s="178"/>
      <c r="P167" s="197">
        <f>IF(N167&lt;0,N167*0,1)*N167</f>
        <v>12</v>
      </c>
      <c r="Q167" s="198">
        <f>VLOOKUP($H168,'Lookup Tables'!$A$22:$B$33,2,FALSE)+(K167*L167)</f>
        <v>3</v>
      </c>
      <c r="R167" s="199" t="str">
        <f>VLOOKUP(Q167,'Lookup Tables'!$A$38:$B$151,2,FALSE)</f>
        <v>Sept</v>
      </c>
      <c r="S167" s="191">
        <f>VLOOKUP(R167,'Lookup Tables'!$A$22:$B$33,2,FALSE)</f>
        <v>3</v>
      </c>
      <c r="T167" s="672">
        <f>VLOOKUP($E$4,'Lookup Tables'!$AQ$46:$BC$58,MATCH(PersonCalcYr3!$S167,'Lookup Tables'!$AQ$46:$BC$46),FALSE)</f>
        <v>10</v>
      </c>
      <c r="U167" s="190">
        <f>IF(P167&lt;T167,P167,T167)</f>
        <v>10</v>
      </c>
      <c r="V167" s="195">
        <f>IF((U167)&lt;=0,0,1)</f>
        <v>1</v>
      </c>
      <c r="W167" s="202">
        <f>(('Rate Tables'!$F39*$E167)*PersonCalcYr3!$U167)*$V167*$F167</f>
        <v>0</v>
      </c>
      <c r="X167" s="197">
        <f>P167-(U167*V167)</f>
        <v>2</v>
      </c>
      <c r="Y167" s="178"/>
      <c r="Z167" s="178"/>
      <c r="AA167" s="178"/>
      <c r="AB167" s="197">
        <f>IF(X167&lt;0,X167*0,1)*X167</f>
        <v>2</v>
      </c>
      <c r="AC167" s="203">
        <f>S167+(U167*V167)</f>
        <v>13</v>
      </c>
      <c r="AD167" s="199" t="str">
        <f>VLOOKUP(AC167,'Lookup Tables'!$A$38:$B$151,2,FALSE)</f>
        <v>July</v>
      </c>
      <c r="AE167" s="191">
        <f>VLOOKUP(AD167,'Lookup Tables'!$A$22:$B$33,2,FALSE)</f>
        <v>1</v>
      </c>
      <c r="AF167" s="222">
        <f>VLOOKUP($AE167,'Lookup Tables'!$AC$3:$AW$16,MATCH(PersonCalcYr3!$AB167,'Lookup Tables'!$AC$3:$AW$3),FALSE)</f>
        <v>2</v>
      </c>
      <c r="AG167" s="190">
        <f>IF(AB167&lt;AF167,AB167,AF167)</f>
        <v>2</v>
      </c>
      <c r="AH167" s="195">
        <f>IF((AG167)&lt;=0,0,1)</f>
        <v>1</v>
      </c>
      <c r="AI167" s="202">
        <f>(('Rate Tables'!$G39*$E167)*PersonCalcYr3!AG167)*AH167*$F167</f>
        <v>0</v>
      </c>
      <c r="AJ167" s="197">
        <f>AB167-(AG167*AH167)</f>
        <v>0</v>
      </c>
      <c r="AK167" s="178"/>
      <c r="AL167" s="178"/>
      <c r="AM167" s="197">
        <f>IF(AJ167&lt;0,AJ167*0,1)*AJ167</f>
        <v>0</v>
      </c>
      <c r="AN167" s="203">
        <f>AE167+(AG167*AH167)</f>
        <v>3</v>
      </c>
      <c r="AO167" s="199" t="str">
        <f>VLOOKUP(AN167,'Lookup Tables'!$A$38:$B$151,2,FALSE)</f>
        <v>Sept</v>
      </c>
      <c r="AP167" s="191">
        <f>VLOOKUP(AO167,'Lookup Tables'!$A$22:$B$33,2,FALSE)</f>
        <v>3</v>
      </c>
      <c r="AQ167" s="222">
        <f>VLOOKUP($AP167,'Lookup Tables'!$AC$3:$AW$16,MATCH(PersonCalcYr3!$AM167,'Lookup Tables'!$AC$3:$AW$3),FALSE)</f>
        <v>0</v>
      </c>
      <c r="AR167" s="190">
        <f>IF(AM167&lt;AQ167,AM167,AQ167)</f>
        <v>0</v>
      </c>
      <c r="AS167" s="195">
        <f>IF((AR167)&lt;=0,0,1)</f>
        <v>0</v>
      </c>
      <c r="AT167" s="202">
        <f>(('Rate Tables'!$H39*$E167)*PersonCalcYr3!AR167)*AS167*$F167</f>
        <v>0</v>
      </c>
      <c r="AU167" s="197">
        <f>AM167-(AR167*AS167)</f>
        <v>0</v>
      </c>
      <c r="AV167" s="202"/>
      <c r="AW167" s="202"/>
      <c r="AX167" s="197">
        <f>IF(AU167&lt;0,AU167*0,1)*AU167</f>
        <v>0</v>
      </c>
      <c r="AY167" s="203">
        <f>AP167+(AR167*AS167)</f>
        <v>3</v>
      </c>
      <c r="AZ167" s="199" t="str">
        <f>VLOOKUP(AY167,'Lookup Tables'!$A$38:$B$151,2,FALSE)</f>
        <v>Sept</v>
      </c>
      <c r="BA167" s="191">
        <f>VLOOKUP(AZ167,'Lookup Tables'!$A$22:$B$33,2,FALSE)</f>
        <v>3</v>
      </c>
      <c r="BB167" s="222">
        <f>VLOOKUP($BA167,'Lookup Tables'!$AC$3:$AW$16,MATCH(PersonCalcYr3!$AX167,'Lookup Tables'!$AC$3:$AW$3),FALSE)</f>
        <v>0</v>
      </c>
      <c r="BC167" s="190">
        <f>IF(AX167&lt;BB167,AX167,BB167)</f>
        <v>0</v>
      </c>
      <c r="BD167" s="195">
        <f>IF((BC167)&lt;=0,0,1)</f>
        <v>0</v>
      </c>
      <c r="BE167" s="202">
        <f>(('Rate Tables'!$I39*$E167)*PersonCalcYr3!BC167)*BD167*$F167</f>
        <v>0</v>
      </c>
      <c r="BF167" s="197">
        <f>AX167-(BC167*BD167)</f>
        <v>0</v>
      </c>
      <c r="BG167" s="202"/>
      <c r="BH167" s="202"/>
      <c r="BI167" s="202"/>
      <c r="BJ167" s="178"/>
      <c r="BK167" s="311"/>
      <c r="BL167" s="12"/>
      <c r="BM167" s="227"/>
      <c r="BN167" s="275"/>
      <c r="BO167" s="12"/>
    </row>
    <row r="168" spans="1:67" ht="15.75" thickBot="1" x14ac:dyDescent="0.3">
      <c r="A168" s="377" t="s">
        <v>431</v>
      </c>
      <c r="B168" s="375" t="str">
        <f>Personnel!U49</f>
        <v>YES</v>
      </c>
      <c r="C168" s="12"/>
      <c r="D168" s="178"/>
      <c r="E168" s="178"/>
      <c r="F168" s="178"/>
      <c r="G168" s="178" t="s">
        <v>430</v>
      </c>
      <c r="H168" s="178" t="str">
        <f>IF(B168="yes",$C$4,A170)</f>
        <v>Sept</v>
      </c>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53"/>
      <c r="AK168" s="178"/>
      <c r="AL168" s="178"/>
      <c r="AM168" s="178"/>
      <c r="AN168" s="178"/>
      <c r="AO168" s="178"/>
      <c r="AP168" s="178"/>
      <c r="AQ168" s="178"/>
      <c r="AR168" s="178"/>
      <c r="AS168" s="178"/>
      <c r="AT168" s="178"/>
      <c r="AU168" s="178"/>
      <c r="AV168" s="178"/>
      <c r="AW168" s="178"/>
      <c r="AX168" s="825"/>
      <c r="AY168" s="178"/>
      <c r="AZ168" s="178"/>
      <c r="BA168" s="178"/>
      <c r="BB168" s="178"/>
      <c r="BC168" s="178"/>
      <c r="BD168" s="178"/>
      <c r="BE168" s="178"/>
      <c r="BF168" s="178"/>
      <c r="BG168" s="178"/>
      <c r="BH168" s="178"/>
      <c r="BI168" s="178"/>
      <c r="BJ168" s="178"/>
      <c r="BK168" s="227"/>
      <c r="BL168" s="12"/>
      <c r="BM168" s="278" t="s">
        <v>415</v>
      </c>
      <c r="BN168" s="279">
        <f>BN159*BN163</f>
        <v>0</v>
      </c>
      <c r="BO168" s="398">
        <f>BN159+BN168+BO163</f>
        <v>0</v>
      </c>
    </row>
    <row r="169" spans="1:67" x14ac:dyDescent="0.25">
      <c r="A169" s="296" t="s">
        <v>439</v>
      </c>
      <c r="B169" s="114" t="s">
        <v>427</v>
      </c>
      <c r="C169" s="12"/>
      <c r="D169" s="178"/>
      <c r="E169" s="178"/>
      <c r="F169" s="178"/>
      <c r="G169" s="818" t="s">
        <v>665</v>
      </c>
      <c r="H169" s="11">
        <f>IF(H170&lt;$C$5,H170,$C$5)</f>
        <v>12</v>
      </c>
      <c r="I169" s="178">
        <f>IF(B170&lt;=H170,B170,H170)</f>
        <v>0</v>
      </c>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97"/>
      <c r="AK169" s="178"/>
      <c r="AL169" s="178"/>
      <c r="AM169" s="178"/>
      <c r="AN169" s="178"/>
      <c r="AO169" s="178"/>
      <c r="AP169" s="178"/>
      <c r="AQ169" s="178"/>
      <c r="AR169" s="178"/>
      <c r="AS169" s="178"/>
      <c r="AT169" s="178"/>
      <c r="AU169" s="178"/>
      <c r="AV169" s="178"/>
      <c r="AW169" s="178"/>
      <c r="AX169" s="178"/>
      <c r="AY169" s="178"/>
      <c r="AZ169" s="178"/>
      <c r="BA169" s="178"/>
      <c r="BB169" s="178"/>
      <c r="BC169" s="178"/>
      <c r="BD169" s="178"/>
      <c r="BE169" s="178"/>
      <c r="BF169" s="178"/>
      <c r="BG169" s="178"/>
      <c r="BH169" s="178"/>
      <c r="BI169" s="178"/>
      <c r="BJ169" s="178"/>
      <c r="BK169" s="227"/>
      <c r="BL169" s="12"/>
      <c r="BM169" s="278"/>
      <c r="BN169" s="284"/>
      <c r="BO169" s="399"/>
    </row>
    <row r="170" spans="1:67" x14ac:dyDescent="0.25">
      <c r="A170" s="397">
        <f>Personnel!U50</f>
        <v>0</v>
      </c>
      <c r="B170" s="273">
        <f>Personnel!U51</f>
        <v>0</v>
      </c>
      <c r="C170" s="12"/>
      <c r="D170" s="178"/>
      <c r="E170" s="178"/>
      <c r="F170" s="178"/>
      <c r="G170" s="818" t="s">
        <v>555</v>
      </c>
      <c r="H170" s="175">
        <f>VLOOKUP($E$4,'Lookup Tables'!$L$46:$AA$58,MATCH($H$161,'Lookup Tables'!$L$46:$X$46),FALSE)</f>
        <v>12</v>
      </c>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8"/>
      <c r="AU170" s="178"/>
      <c r="AV170" s="178"/>
      <c r="AW170" s="178"/>
      <c r="AX170" s="178"/>
      <c r="AY170" s="178"/>
      <c r="AZ170" s="178"/>
      <c r="BA170" s="178"/>
      <c r="BB170" s="178"/>
      <c r="BC170" s="178"/>
      <c r="BD170" s="178"/>
      <c r="BE170" s="178"/>
      <c r="BF170" s="178"/>
      <c r="BG170" s="178"/>
      <c r="BH170" s="178"/>
      <c r="BI170" s="178"/>
      <c r="BJ170" s="178"/>
      <c r="BK170" s="227"/>
      <c r="BL170" s="12"/>
      <c r="BM170" s="278"/>
      <c r="BN170" s="284"/>
      <c r="BO170" s="369"/>
    </row>
    <row r="171" spans="1:67" ht="15.75" thickBot="1" x14ac:dyDescent="0.3">
      <c r="A171" s="297"/>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c r="BC171" s="149"/>
      <c r="BD171" s="149"/>
      <c r="BE171" s="149"/>
      <c r="BF171" s="149"/>
      <c r="BG171" s="149"/>
      <c r="BH171" s="149"/>
      <c r="BI171" s="149"/>
      <c r="BJ171" s="149"/>
      <c r="BK171" s="280"/>
      <c r="BL171" s="149"/>
      <c r="BM171" s="149"/>
      <c r="BN171" s="281"/>
      <c r="BO171" s="149"/>
    </row>
    <row r="172" spans="1:67" ht="26.25" x14ac:dyDescent="0.25">
      <c r="A172" s="298" t="s">
        <v>174</v>
      </c>
      <c r="B172" s="294" t="s">
        <v>189</v>
      </c>
      <c r="C172" s="180" t="s">
        <v>606</v>
      </c>
      <c r="D172" s="179"/>
      <c r="E172" s="218"/>
      <c r="F172" s="218"/>
      <c r="G172" s="181"/>
      <c r="H172" s="181"/>
      <c r="I172" s="181"/>
      <c r="J172" s="181"/>
      <c r="K172" s="181"/>
      <c r="L172" s="181"/>
      <c r="M172" s="181"/>
      <c r="N172" s="181"/>
      <c r="O172" s="181"/>
      <c r="P172" s="181"/>
      <c r="Q172" s="181"/>
      <c r="R172" s="181"/>
      <c r="S172" s="181"/>
      <c r="T172" s="181"/>
      <c r="U172" s="181"/>
      <c r="V172" s="181"/>
      <c r="W172" s="181"/>
      <c r="X172" s="181"/>
      <c r="Y172" s="181"/>
      <c r="Z172" s="493">
        <v>44378</v>
      </c>
      <c r="AA172" s="493">
        <v>44742</v>
      </c>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181"/>
      <c r="BB172" s="181"/>
      <c r="BC172" s="181"/>
      <c r="BD172" s="181"/>
      <c r="BE172" s="181"/>
      <c r="BF172" s="181"/>
      <c r="BG172" s="181"/>
      <c r="BH172" s="181"/>
      <c r="BI172" s="181"/>
      <c r="BJ172" s="181"/>
      <c r="BK172" s="282"/>
      <c r="BL172" s="144"/>
      <c r="BM172" s="144"/>
      <c r="BN172" s="283"/>
      <c r="BO172" s="12"/>
    </row>
    <row r="173" spans="1:67" x14ac:dyDescent="0.25">
      <c r="A173" s="345">
        <f>Personnel!C55</f>
        <v>0</v>
      </c>
      <c r="B173" s="346" t="str">
        <f>Personnel!C54</f>
        <v>Prof/Admin</v>
      </c>
      <c r="C173" s="347">
        <f>Personnel!C56</f>
        <v>0</v>
      </c>
      <c r="D173" s="188"/>
      <c r="E173" s="205"/>
      <c r="F173" s="205"/>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78"/>
      <c r="AW173" s="178"/>
      <c r="AX173" s="825"/>
      <c r="AY173" s="178"/>
      <c r="AZ173" s="178"/>
      <c r="BA173" s="178"/>
      <c r="BB173" s="178"/>
      <c r="BC173" s="178"/>
      <c r="BD173" s="178"/>
      <c r="BE173" s="178"/>
      <c r="BF173" s="178"/>
      <c r="BG173" s="178"/>
      <c r="BH173" s="178"/>
      <c r="BI173" s="178"/>
      <c r="BJ173" s="178"/>
      <c r="BK173" s="306" t="s">
        <v>413</v>
      </c>
      <c r="BL173" s="348">
        <f>Personnel!W54</f>
        <v>1</v>
      </c>
      <c r="BM173" s="278" t="s">
        <v>96</v>
      </c>
      <c r="BN173" s="279">
        <f>(M175+W175+AI175+AT175+BE175+M177+W177+AI177+AT177+BE177+M179+W179+AI179+AT179+BE179+M181+W181+AI181+AT181+BE181)*BL176</f>
        <v>0</v>
      </c>
      <c r="BO173" s="369"/>
    </row>
    <row r="174" spans="1:67" x14ac:dyDescent="0.25">
      <c r="A174" s="296"/>
      <c r="B174" s="12"/>
      <c r="C174" s="117" t="s">
        <v>30</v>
      </c>
      <c r="D174" s="182"/>
      <c r="E174" s="153"/>
      <c r="F174" s="153" t="s">
        <v>42</v>
      </c>
      <c r="G174" s="153" t="s">
        <v>41</v>
      </c>
      <c r="H174" s="183" t="s">
        <v>77</v>
      </c>
      <c r="I174" s="219" t="s">
        <v>50</v>
      </c>
      <c r="J174" s="153" t="s">
        <v>52</v>
      </c>
      <c r="K174" s="153" t="s">
        <v>35</v>
      </c>
      <c r="L174" s="153" t="s">
        <v>82</v>
      </c>
      <c r="M174" s="153" t="s">
        <v>31</v>
      </c>
      <c r="N174" s="153" t="s">
        <v>69</v>
      </c>
      <c r="O174" s="178"/>
      <c r="P174" s="153" t="s">
        <v>72</v>
      </c>
      <c r="Q174" s="183" t="s">
        <v>80</v>
      </c>
      <c r="R174" s="187" t="s">
        <v>81</v>
      </c>
      <c r="S174" s="183" t="s">
        <v>77</v>
      </c>
      <c r="T174" s="673" t="s">
        <v>107</v>
      </c>
      <c r="U174" s="153" t="s">
        <v>53</v>
      </c>
      <c r="V174" s="153" t="s">
        <v>82</v>
      </c>
      <c r="W174" s="153" t="s">
        <v>32</v>
      </c>
      <c r="X174" s="153" t="s">
        <v>69</v>
      </c>
      <c r="Y174" s="178"/>
      <c r="Z174" s="178"/>
      <c r="AA174" s="178"/>
      <c r="AB174" s="153" t="s">
        <v>72</v>
      </c>
      <c r="AC174" s="153" t="s">
        <v>80</v>
      </c>
      <c r="AD174" s="187" t="s">
        <v>81</v>
      </c>
      <c r="AE174" s="183" t="s">
        <v>77</v>
      </c>
      <c r="AF174" s="220" t="s">
        <v>107</v>
      </c>
      <c r="AG174" s="153" t="s">
        <v>78</v>
      </c>
      <c r="AH174" s="153" t="s">
        <v>82</v>
      </c>
      <c r="AI174" s="153" t="s">
        <v>33</v>
      </c>
      <c r="AJ174" s="153" t="s">
        <v>69</v>
      </c>
      <c r="AK174" s="178"/>
      <c r="AL174" s="178"/>
      <c r="AM174" s="153" t="s">
        <v>72</v>
      </c>
      <c r="AN174" s="153" t="s">
        <v>80</v>
      </c>
      <c r="AO174" s="187" t="s">
        <v>81</v>
      </c>
      <c r="AP174" s="183" t="s">
        <v>77</v>
      </c>
      <c r="AQ174" s="220" t="s">
        <v>107</v>
      </c>
      <c r="AR174" s="153" t="s">
        <v>78</v>
      </c>
      <c r="AS174" s="153" t="s">
        <v>82</v>
      </c>
      <c r="AT174" s="153" t="s">
        <v>33</v>
      </c>
      <c r="AU174" s="153" t="s">
        <v>69</v>
      </c>
      <c r="AV174" s="153"/>
      <c r="AW174" s="153"/>
      <c r="AX174" s="153" t="s">
        <v>72</v>
      </c>
      <c r="AY174" s="153" t="s">
        <v>80</v>
      </c>
      <c r="AZ174" s="187" t="s">
        <v>81</v>
      </c>
      <c r="BA174" s="183" t="s">
        <v>77</v>
      </c>
      <c r="BB174" s="220" t="s">
        <v>107</v>
      </c>
      <c r="BC174" s="153" t="s">
        <v>78</v>
      </c>
      <c r="BD174" s="153" t="s">
        <v>82</v>
      </c>
      <c r="BE174" s="153" t="s">
        <v>33</v>
      </c>
      <c r="BF174" s="153" t="s">
        <v>69</v>
      </c>
      <c r="BG174" s="153"/>
      <c r="BH174" s="153"/>
      <c r="BI174" s="153"/>
      <c r="BJ174" s="178"/>
      <c r="BK174" s="227"/>
      <c r="BL174" s="12"/>
      <c r="BM174" s="227"/>
      <c r="BN174" s="275"/>
      <c r="BO174" s="12" t="s">
        <v>418</v>
      </c>
    </row>
    <row r="175" spans="1:67" x14ac:dyDescent="0.25">
      <c r="A175" s="296"/>
      <c r="B175" s="12"/>
      <c r="C175" s="115"/>
      <c r="D175" s="188"/>
      <c r="E175" s="221">
        <f>BL173</f>
        <v>1</v>
      </c>
      <c r="F175" s="190">
        <f>IF($D$4=2022,1,0)</f>
        <v>0</v>
      </c>
      <c r="G175" s="178">
        <f>IF($B182="Yes",$C$5,$I183)</f>
        <v>12</v>
      </c>
      <c r="H175" s="191">
        <f>VLOOKUP(H182,'Lookup Tables'!$A$22:$B$33,2,FALSE)</f>
        <v>3</v>
      </c>
      <c r="I175" s="192">
        <f>VLOOKUP($E$4,'Lookup Tables'!$AB$46:$AN$58,MATCH($H175,'Lookup Tables'!$AB$46:$AN$46),FALSE)</f>
        <v>12</v>
      </c>
      <c r="J175" s="190">
        <f>12-I175</f>
        <v>0</v>
      </c>
      <c r="K175" s="190">
        <f>IF(G175&lt;J175,G175,J175)</f>
        <v>0</v>
      </c>
      <c r="L175" s="195">
        <f>IF(12-I175&gt;=1,1,0)</f>
        <v>0</v>
      </c>
      <c r="M175" s="202">
        <f>((('Rate Tables'!$B44*$E175)*PersonCalcYr3!$K175)*L175)*$F175</f>
        <v>0</v>
      </c>
      <c r="N175" s="197">
        <f>G175-(J175*L175)</f>
        <v>12</v>
      </c>
      <c r="O175" s="178"/>
      <c r="P175" s="197">
        <f>IF(N175&lt;0,N175*0,1)*N175</f>
        <v>12</v>
      </c>
      <c r="Q175" s="198">
        <f>VLOOKUP($H182,'Lookup Tables'!$A$22:$B$33,2,FALSE)+(K175*L175)</f>
        <v>3</v>
      </c>
      <c r="R175" s="199" t="str">
        <f>VLOOKUP(Q175,'Lookup Tables'!$A$38:$B$151,2,FALSE)</f>
        <v>Sept</v>
      </c>
      <c r="S175" s="191">
        <f>VLOOKUP(R175,'Lookup Tables'!$A$22:$B$33,2,FALSE)</f>
        <v>3</v>
      </c>
      <c r="T175" s="672">
        <f>VLOOKUP($E$4,'Lookup Tables'!$AQ$46:$BC$58,MATCH(PersonCalcYr3!$S175,'Lookup Tables'!$AQ$46:$BC$46),FALSE)</f>
        <v>10</v>
      </c>
      <c r="U175" s="190">
        <f>IF(P175&lt;T175,P175,T175)</f>
        <v>10</v>
      </c>
      <c r="V175" s="195">
        <f>IF((U175)&lt;=0,0,1)</f>
        <v>1</v>
      </c>
      <c r="W175" s="202">
        <f>(('Rate Tables'!$C44*$E175)*PersonCalcYr3!$U175)*$V175*$F175</f>
        <v>0</v>
      </c>
      <c r="X175" s="197">
        <f>P175-(U175*V175)</f>
        <v>2</v>
      </c>
      <c r="Y175" s="178"/>
      <c r="Z175" s="178"/>
      <c r="AA175" s="178"/>
      <c r="AB175" s="197">
        <f>IF(X175&lt;0,X175*0,1)*X175</f>
        <v>2</v>
      </c>
      <c r="AC175" s="203">
        <f>S175+(U175*V175)</f>
        <v>13</v>
      </c>
      <c r="AD175" s="199" t="str">
        <f>VLOOKUP(AC175,'Lookup Tables'!$A$38:$B$151,2,FALSE)</f>
        <v>July</v>
      </c>
      <c r="AE175" s="191">
        <f>VLOOKUP(AD175,'Lookup Tables'!$A$22:$B$33,2,FALSE)</f>
        <v>1</v>
      </c>
      <c r="AF175" s="222">
        <f>VLOOKUP($AE175,'Lookup Tables'!$AC$3:$AW$16,MATCH(PersonCalcYr3!$AB175,'Lookup Tables'!$AC$3:$AW$3),FALSE)</f>
        <v>2</v>
      </c>
      <c r="AG175" s="190">
        <f>IF(AB175&lt;AF175,AB175,AF175)</f>
        <v>2</v>
      </c>
      <c r="AH175" s="195">
        <f>IF((AG175)&lt;=0,0,1)</f>
        <v>1</v>
      </c>
      <c r="AI175" s="202">
        <f>(('Rate Tables'!$D44*$E175)*PersonCalcYr3!AG175)*AH175*$F175</f>
        <v>0</v>
      </c>
      <c r="AJ175" s="197">
        <f>AB175-(AG175*AH175)</f>
        <v>0</v>
      </c>
      <c r="AK175" s="178"/>
      <c r="AL175" s="178"/>
      <c r="AM175" s="197">
        <f>IF(AJ175&lt;0,AJ175*0,1)*AJ175</f>
        <v>0</v>
      </c>
      <c r="AN175" s="203">
        <f>AE175+(AG175*AH175)</f>
        <v>3</v>
      </c>
      <c r="AO175" s="199" t="str">
        <f>VLOOKUP(AN175,'Lookup Tables'!$A$38:$B$151,2,FALSE)</f>
        <v>Sept</v>
      </c>
      <c r="AP175" s="191">
        <f>VLOOKUP(AO175,'Lookup Tables'!$A$22:$B$33,2,FALSE)</f>
        <v>3</v>
      </c>
      <c r="AQ175" s="222">
        <f>VLOOKUP($AP175,'Lookup Tables'!$AC$3:$AW$16,MATCH(PersonCalcYr3!$AM175,'Lookup Tables'!$AC$3:$AW$3),FALSE)</f>
        <v>0</v>
      </c>
      <c r="AR175" s="190">
        <f>IF(AM175&lt;AQ175,AM175,AQ175)</f>
        <v>0</v>
      </c>
      <c r="AS175" s="195">
        <f>IF((AR175)&lt;=0,0,1)</f>
        <v>0</v>
      </c>
      <c r="AT175" s="202">
        <f>(('Rate Tables'!$E44*$E175)*PersonCalcYr3!AR175)*AS175*$F175</f>
        <v>0</v>
      </c>
      <c r="AU175" s="197">
        <f>AM175-(AR175*AS175)</f>
        <v>0</v>
      </c>
      <c r="AV175" s="202"/>
      <c r="AW175" s="202"/>
      <c r="AX175" s="197">
        <f>IF(AU175&lt;0,AU175*0,1)*AU175</f>
        <v>0</v>
      </c>
      <c r="AY175" s="203">
        <f>AP175+(AR175*AS175)</f>
        <v>3</v>
      </c>
      <c r="AZ175" s="199" t="str">
        <f>VLOOKUP(AY175,'Lookup Tables'!$A$38:$B$151,2,FALSE)</f>
        <v>Sept</v>
      </c>
      <c r="BA175" s="191">
        <f>VLOOKUP(AZ175,'Lookup Tables'!$A$22:$B$33,2,FALSE)</f>
        <v>3</v>
      </c>
      <c r="BB175" s="222">
        <f>VLOOKUP($BA175,'Lookup Tables'!$AC$3:$AW$16,MATCH(PersonCalcYr3!$AX175,'Lookup Tables'!$AC$3:$AW$3),FALSE)</f>
        <v>0</v>
      </c>
      <c r="BC175" s="190">
        <f>IF(AX175&lt;BB175,AX175,BB175)</f>
        <v>0</v>
      </c>
      <c r="BD175" s="195">
        <f>IF((BC175)&lt;=0,0,1)</f>
        <v>0</v>
      </c>
      <c r="BE175" s="202">
        <f>(('Rate Tables'!$F44*$E175)*PersonCalcYr3!BC175)*BD175*$F175</f>
        <v>0</v>
      </c>
      <c r="BF175" s="197">
        <f>AX175-(BC175*BD175)</f>
        <v>0</v>
      </c>
      <c r="BG175" s="202"/>
      <c r="BH175" s="202"/>
      <c r="BI175" s="202"/>
      <c r="BJ175" s="178"/>
      <c r="BK175" s="227"/>
      <c r="BL175" s="12"/>
      <c r="BM175" s="227" t="s">
        <v>451</v>
      </c>
      <c r="BN175" s="275">
        <f>(VLOOKUP($B173,'Rate Tables'!$O$2:$P$8,2,FALSE))</f>
        <v>0.3226</v>
      </c>
      <c r="BO175" s="372">
        <f>VLOOKUP('F&amp;ARatesCalc'!$B$1,'F&amp;ARatesCalc'!$A$3:$B$5,2,FALSE)</f>
        <v>0.56999999999999995</v>
      </c>
    </row>
    <row r="176" spans="1:67" x14ac:dyDescent="0.25">
      <c r="A176" s="296"/>
      <c r="B176" s="12"/>
      <c r="C176" s="117" t="s">
        <v>597</v>
      </c>
      <c r="D176" s="182"/>
      <c r="E176" s="153"/>
      <c r="F176" s="153" t="s">
        <v>42</v>
      </c>
      <c r="G176" s="153" t="s">
        <v>41</v>
      </c>
      <c r="H176" s="183" t="s">
        <v>77</v>
      </c>
      <c r="I176" s="219" t="s">
        <v>51</v>
      </c>
      <c r="J176" s="153" t="s">
        <v>110</v>
      </c>
      <c r="K176" s="153" t="s">
        <v>53</v>
      </c>
      <c r="L176" s="153" t="s">
        <v>82</v>
      </c>
      <c r="M176" s="153" t="s">
        <v>32</v>
      </c>
      <c r="N176" s="153" t="s">
        <v>69</v>
      </c>
      <c r="O176" s="178"/>
      <c r="P176" s="153" t="s">
        <v>72</v>
      </c>
      <c r="Q176" s="183" t="s">
        <v>80</v>
      </c>
      <c r="R176" s="187" t="s">
        <v>81</v>
      </c>
      <c r="S176" s="183" t="s">
        <v>77</v>
      </c>
      <c r="T176" s="673" t="s">
        <v>107</v>
      </c>
      <c r="U176" s="153" t="s">
        <v>78</v>
      </c>
      <c r="V176" s="153" t="s">
        <v>82</v>
      </c>
      <c r="W176" s="153" t="s">
        <v>33</v>
      </c>
      <c r="X176" s="153" t="s">
        <v>69</v>
      </c>
      <c r="Y176" s="178"/>
      <c r="Z176" s="178"/>
      <c r="AA176" s="178"/>
      <c r="AB176" s="153" t="s">
        <v>72</v>
      </c>
      <c r="AC176" s="153" t="s">
        <v>80</v>
      </c>
      <c r="AD176" s="187" t="s">
        <v>81</v>
      </c>
      <c r="AE176" s="183" t="s">
        <v>77</v>
      </c>
      <c r="AF176" s="220" t="s">
        <v>107</v>
      </c>
      <c r="AG176" s="153" t="s">
        <v>79</v>
      </c>
      <c r="AH176" s="153" t="s">
        <v>82</v>
      </c>
      <c r="AI176" s="153" t="s">
        <v>34</v>
      </c>
      <c r="AJ176" s="153" t="s">
        <v>69</v>
      </c>
      <c r="AK176" s="178"/>
      <c r="AL176" s="178"/>
      <c r="AM176" s="153" t="s">
        <v>72</v>
      </c>
      <c r="AN176" s="153" t="s">
        <v>80</v>
      </c>
      <c r="AO176" s="187" t="s">
        <v>81</v>
      </c>
      <c r="AP176" s="183" t="s">
        <v>77</v>
      </c>
      <c r="AQ176" s="220" t="s">
        <v>107</v>
      </c>
      <c r="AR176" s="153" t="s">
        <v>79</v>
      </c>
      <c r="AS176" s="153" t="s">
        <v>82</v>
      </c>
      <c r="AT176" s="153" t="s">
        <v>34</v>
      </c>
      <c r="AU176" s="153" t="s">
        <v>69</v>
      </c>
      <c r="AV176" s="153"/>
      <c r="AW176" s="153"/>
      <c r="AX176" s="153" t="s">
        <v>72</v>
      </c>
      <c r="AY176" s="153" t="s">
        <v>80</v>
      </c>
      <c r="AZ176" s="187" t="s">
        <v>81</v>
      </c>
      <c r="BA176" s="183" t="s">
        <v>77</v>
      </c>
      <c r="BB176" s="220" t="s">
        <v>107</v>
      </c>
      <c r="BC176" s="153" t="s">
        <v>79</v>
      </c>
      <c r="BD176" s="153" t="s">
        <v>82</v>
      </c>
      <c r="BE176" s="153" t="s">
        <v>34</v>
      </c>
      <c r="BF176" s="153" t="s">
        <v>69</v>
      </c>
      <c r="BG176" s="153"/>
      <c r="BH176" s="153"/>
      <c r="BI176" s="153"/>
      <c r="BJ176" s="178"/>
      <c r="BK176" s="307" t="s">
        <v>450</v>
      </c>
      <c r="BL176" s="349">
        <f>IF(B173=0,0,1)</f>
        <v>1</v>
      </c>
      <c r="BM176" s="227" t="s">
        <v>452</v>
      </c>
      <c r="BN176" s="275">
        <f>_xlfn.IFNA(BN175,0)</f>
        <v>0.3226</v>
      </c>
      <c r="BO176" s="12" t="s">
        <v>417</v>
      </c>
    </row>
    <row r="177" spans="1:67" x14ac:dyDescent="0.25">
      <c r="A177" s="296"/>
      <c r="B177" s="12"/>
      <c r="C177" s="115"/>
      <c r="D177" s="188"/>
      <c r="E177" s="221">
        <f>BL173</f>
        <v>1</v>
      </c>
      <c r="F177" s="190">
        <f>IF($D$4=2023,1,0)</f>
        <v>0</v>
      </c>
      <c r="G177" s="178">
        <f>IF($B182="Yes",$C$5,$I183)</f>
        <v>12</v>
      </c>
      <c r="H177" s="191">
        <f>VLOOKUP(H182,'Lookup Tables'!$A$22:$B$33,2,FALSE)</f>
        <v>3</v>
      </c>
      <c r="I177" s="192">
        <f>VLOOKUP($E$4,'Lookup Tables'!$AB$46:$AN$58,MATCH($H177,'Lookup Tables'!$AB$46:$AN$46),FALSE)</f>
        <v>12</v>
      </c>
      <c r="J177" s="190">
        <f>12-I177</f>
        <v>0</v>
      </c>
      <c r="K177" s="190">
        <f>IF(G177&lt;J177,G177,J177)</f>
        <v>0</v>
      </c>
      <c r="L177" s="195">
        <f>IF(12-I177&gt;=1,1,0)</f>
        <v>0</v>
      </c>
      <c r="M177" s="202">
        <f>((('Rate Tables'!$C44*$E177)*PersonCalcYr3!$K177)*L177)*$F177</f>
        <v>0</v>
      </c>
      <c r="N177" s="197">
        <f>G177-(J177*L177)</f>
        <v>12</v>
      </c>
      <c r="O177" s="178"/>
      <c r="P177" s="197">
        <f>IF(N177&lt;0,N177*0,1)*N177</f>
        <v>12</v>
      </c>
      <c r="Q177" s="198">
        <f>VLOOKUP($H182,'Lookup Tables'!$A$22:$B$33,2,FALSE)+(K177*L177)</f>
        <v>3</v>
      </c>
      <c r="R177" s="199" t="str">
        <f>VLOOKUP(Q177,'Lookup Tables'!$A$38:$B$151,2,FALSE)</f>
        <v>Sept</v>
      </c>
      <c r="S177" s="191">
        <f>VLOOKUP(R177,'Lookup Tables'!$A$22:$B$33,2,FALSE)</f>
        <v>3</v>
      </c>
      <c r="T177" s="672">
        <f>VLOOKUP($E$4,'Lookup Tables'!$AQ$46:$BC$58,MATCH(PersonCalcYr3!$S177,'Lookup Tables'!$AQ$46:$BC$46),FALSE)</f>
        <v>10</v>
      </c>
      <c r="U177" s="190">
        <f>IF(P177&lt;T177,P177,T177)</f>
        <v>10</v>
      </c>
      <c r="V177" s="195">
        <f>IF((U177)&lt;=0,0,1)</f>
        <v>1</v>
      </c>
      <c r="W177" s="202">
        <f>(('Rate Tables'!$D44*$E177)*PersonCalcYr3!$U177)*$V177*$F177</f>
        <v>0</v>
      </c>
      <c r="X177" s="197">
        <f>P177-(U177*V177)</f>
        <v>2</v>
      </c>
      <c r="Y177" s="178"/>
      <c r="Z177" s="178"/>
      <c r="AA177" s="178"/>
      <c r="AB177" s="197">
        <f>IF(X177&lt;0,X177*0,1)*X177</f>
        <v>2</v>
      </c>
      <c r="AC177" s="203">
        <f>S177+(U177*V177)</f>
        <v>13</v>
      </c>
      <c r="AD177" s="199" t="str">
        <f>VLOOKUP(AC177,'Lookup Tables'!$A$38:$B$151,2,FALSE)</f>
        <v>July</v>
      </c>
      <c r="AE177" s="191">
        <f>VLOOKUP(AD177,'Lookup Tables'!$A$22:$B$33,2,FALSE)</f>
        <v>1</v>
      </c>
      <c r="AF177" s="222">
        <f>VLOOKUP($AE177,'Lookup Tables'!$AC$3:$AW$16,MATCH(PersonCalcYr3!$AB177,'Lookup Tables'!$AC$3:$AW$3),FALSE)</f>
        <v>2</v>
      </c>
      <c r="AG177" s="190">
        <f>IF(AB177&lt;AF177,AB177,AF177)</f>
        <v>2</v>
      </c>
      <c r="AH177" s="195">
        <f>IF((AG177)&lt;=0,0,1)</f>
        <v>1</v>
      </c>
      <c r="AI177" s="202">
        <f>(('Rate Tables'!$E44*$E177)*PersonCalcYr3!AG177)*AH177*$F177</f>
        <v>0</v>
      </c>
      <c r="AJ177" s="197">
        <f>AB177-(AG177*AH177)</f>
        <v>0</v>
      </c>
      <c r="AK177" s="178"/>
      <c r="AL177" s="178"/>
      <c r="AM177" s="197">
        <f>IF(AJ177&lt;0,AJ177*0,1)*AJ177</f>
        <v>0</v>
      </c>
      <c r="AN177" s="203">
        <f>AE177+(AG177*AH177)</f>
        <v>3</v>
      </c>
      <c r="AO177" s="199" t="str">
        <f>VLOOKUP(AN177,'Lookup Tables'!$A$38:$B$151,2,FALSE)</f>
        <v>Sept</v>
      </c>
      <c r="AP177" s="191">
        <f>VLOOKUP(AO177,'Lookup Tables'!$A$22:$B$33,2,FALSE)</f>
        <v>3</v>
      </c>
      <c r="AQ177" s="222">
        <f>VLOOKUP($AP177,'Lookup Tables'!$AC$3:$AW$16,MATCH(PersonCalcYr3!$AM177,'Lookup Tables'!$AC$3:$AW$3),FALSE)</f>
        <v>0</v>
      </c>
      <c r="AR177" s="190">
        <f>IF(AM177&lt;AQ177,AM177,AQ177)</f>
        <v>0</v>
      </c>
      <c r="AS177" s="195">
        <f>IF((AR177)&lt;=0,0,1)</f>
        <v>0</v>
      </c>
      <c r="AT177" s="202">
        <f>(('Rate Tables'!$F44*$E177)*PersonCalcYr3!AR177)*AS177*$F177</f>
        <v>0</v>
      </c>
      <c r="AU177" s="197">
        <f>AM177-(AR177*AS177)</f>
        <v>0</v>
      </c>
      <c r="AV177" s="202"/>
      <c r="AW177" s="202"/>
      <c r="AX177" s="197">
        <f>IF(AU177&lt;0,AU177*0,1)*AU177</f>
        <v>0</v>
      </c>
      <c r="AY177" s="203">
        <f>AP177+(AR177*AS177)</f>
        <v>3</v>
      </c>
      <c r="AZ177" s="199" t="str">
        <f>VLOOKUP(AY177,'Lookup Tables'!$A$38:$B$151,2,FALSE)</f>
        <v>Sept</v>
      </c>
      <c r="BA177" s="191">
        <f>VLOOKUP(AZ177,'Lookup Tables'!$A$22:$B$33,2,FALSE)</f>
        <v>3</v>
      </c>
      <c r="BB177" s="222">
        <f>VLOOKUP($BA177,'Lookup Tables'!$AC$3:$AW$16,MATCH(PersonCalcYr3!$AX177,'Lookup Tables'!$AC$3:$AW$3),FALSE)</f>
        <v>0</v>
      </c>
      <c r="BC177" s="190">
        <f>IF(AX177&lt;BB177,AX177,BB177)</f>
        <v>0</v>
      </c>
      <c r="BD177" s="195">
        <f>IF((BC177)&lt;=0,0,1)</f>
        <v>0</v>
      </c>
      <c r="BE177" s="202">
        <f>(('Rate Tables'!$G44*$E177)*PersonCalcYr3!BC177)*BD177*$F177</f>
        <v>0</v>
      </c>
      <c r="BF177" s="197">
        <f>AX177-(BC177*BD177)</f>
        <v>0</v>
      </c>
      <c r="BG177" s="202"/>
      <c r="BH177" s="202"/>
      <c r="BI177" s="202"/>
      <c r="BJ177" s="178"/>
      <c r="BK177" s="311"/>
      <c r="BL177" s="12"/>
      <c r="BM177" s="227" t="s">
        <v>453</v>
      </c>
      <c r="BN177" s="275">
        <f>IF(BN176=0,0,BN175)</f>
        <v>0.3226</v>
      </c>
      <c r="BO177" s="12">
        <f>(BN173+BN182)*BO175</f>
        <v>0</v>
      </c>
    </row>
    <row r="178" spans="1:67" x14ac:dyDescent="0.25">
      <c r="A178" s="296"/>
      <c r="B178" s="12"/>
      <c r="C178" s="117" t="s">
        <v>664</v>
      </c>
      <c r="D178" s="182"/>
      <c r="E178" s="153"/>
      <c r="F178" s="153" t="s">
        <v>42</v>
      </c>
      <c r="G178" s="153" t="s">
        <v>41</v>
      </c>
      <c r="H178" s="183" t="s">
        <v>77</v>
      </c>
      <c r="I178" s="219" t="s">
        <v>51</v>
      </c>
      <c r="J178" s="153" t="s">
        <v>110</v>
      </c>
      <c r="K178" s="153" t="s">
        <v>53</v>
      </c>
      <c r="L178" s="153" t="s">
        <v>82</v>
      </c>
      <c r="M178" s="153" t="s">
        <v>32</v>
      </c>
      <c r="N178" s="153" t="s">
        <v>69</v>
      </c>
      <c r="O178" s="178"/>
      <c r="P178" s="153" t="s">
        <v>72</v>
      </c>
      <c r="Q178" s="183" t="s">
        <v>80</v>
      </c>
      <c r="R178" s="187" t="s">
        <v>81</v>
      </c>
      <c r="S178" s="183" t="s">
        <v>77</v>
      </c>
      <c r="T178" s="673" t="s">
        <v>107</v>
      </c>
      <c r="U178" s="153" t="s">
        <v>78</v>
      </c>
      <c r="V178" s="153" t="s">
        <v>82</v>
      </c>
      <c r="W178" s="153" t="s">
        <v>33</v>
      </c>
      <c r="X178" s="153" t="s">
        <v>69</v>
      </c>
      <c r="Y178" s="178"/>
      <c r="Z178" s="178"/>
      <c r="AA178" s="178"/>
      <c r="AB178" s="153" t="s">
        <v>72</v>
      </c>
      <c r="AC178" s="153" t="s">
        <v>80</v>
      </c>
      <c r="AD178" s="187" t="s">
        <v>81</v>
      </c>
      <c r="AE178" s="183" t="s">
        <v>77</v>
      </c>
      <c r="AF178" s="220" t="s">
        <v>107</v>
      </c>
      <c r="AG178" s="153" t="s">
        <v>79</v>
      </c>
      <c r="AH178" s="153" t="s">
        <v>82</v>
      </c>
      <c r="AI178" s="153" t="s">
        <v>34</v>
      </c>
      <c r="AJ178" s="153" t="s">
        <v>69</v>
      </c>
      <c r="AK178" s="178"/>
      <c r="AL178" s="178"/>
      <c r="AM178" s="153" t="s">
        <v>72</v>
      </c>
      <c r="AN178" s="153" t="s">
        <v>80</v>
      </c>
      <c r="AO178" s="187" t="s">
        <v>81</v>
      </c>
      <c r="AP178" s="183" t="s">
        <v>77</v>
      </c>
      <c r="AQ178" s="220" t="s">
        <v>107</v>
      </c>
      <c r="AR178" s="153" t="s">
        <v>79</v>
      </c>
      <c r="AS178" s="153" t="s">
        <v>82</v>
      </c>
      <c r="AT178" s="153" t="s">
        <v>34</v>
      </c>
      <c r="AU178" s="153" t="s">
        <v>69</v>
      </c>
      <c r="AV178" s="202"/>
      <c r="AW178" s="202"/>
      <c r="AX178" s="153" t="s">
        <v>72</v>
      </c>
      <c r="AY178" s="153" t="s">
        <v>80</v>
      </c>
      <c r="AZ178" s="187" t="s">
        <v>81</v>
      </c>
      <c r="BA178" s="183" t="s">
        <v>77</v>
      </c>
      <c r="BB178" s="220" t="s">
        <v>107</v>
      </c>
      <c r="BC178" s="153" t="s">
        <v>79</v>
      </c>
      <c r="BD178" s="153" t="s">
        <v>82</v>
      </c>
      <c r="BE178" s="153" t="s">
        <v>34</v>
      </c>
      <c r="BF178" s="153" t="s">
        <v>69</v>
      </c>
      <c r="BG178" s="202"/>
      <c r="BH178" s="202"/>
      <c r="BI178" s="202"/>
      <c r="BJ178" s="178"/>
      <c r="BK178" s="311"/>
      <c r="BL178" s="12"/>
      <c r="BM178" s="227"/>
      <c r="BN178" s="275"/>
      <c r="BO178" s="12"/>
    </row>
    <row r="179" spans="1:67" x14ac:dyDescent="0.25">
      <c r="A179" s="296"/>
      <c r="B179" s="12"/>
      <c r="C179" s="115"/>
      <c r="D179" s="188"/>
      <c r="E179" s="221">
        <f>BL173</f>
        <v>1</v>
      </c>
      <c r="F179" s="190">
        <f>IF($D$4=2024,1,0)</f>
        <v>1</v>
      </c>
      <c r="G179" s="178">
        <f>IF($B182="Yes",$C$5,$I183)</f>
        <v>12</v>
      </c>
      <c r="H179" s="191">
        <f>VLOOKUP(H182,'Lookup Tables'!$A$22:$B$33,2,FALSE)</f>
        <v>3</v>
      </c>
      <c r="I179" s="192">
        <f>VLOOKUP($E$4,'Lookup Tables'!$AB$46:$AN$58,MATCH($H179,'Lookup Tables'!$AB$46:$AN$46),FALSE)</f>
        <v>12</v>
      </c>
      <c r="J179" s="190">
        <f>12-I179</f>
        <v>0</v>
      </c>
      <c r="K179" s="190">
        <f>IF(G179&lt;J179,G179,J179)</f>
        <v>0</v>
      </c>
      <c r="L179" s="195">
        <f>IF(12-I179&gt;=1,1,0)</f>
        <v>0</v>
      </c>
      <c r="M179" s="202">
        <f>((('Rate Tables'!$D44*$E179)*PersonCalcYr3!$K179)*L179)*$F179</f>
        <v>0</v>
      </c>
      <c r="N179" s="197">
        <f>G179-(J179*L179)</f>
        <v>12</v>
      </c>
      <c r="O179" s="178"/>
      <c r="P179" s="197">
        <f>IF(N179&lt;0,N179*0,1)*N179</f>
        <v>12</v>
      </c>
      <c r="Q179" s="198">
        <f>VLOOKUP($H182,'Lookup Tables'!$A$22:$B$33,2,FALSE)+(K179*L179)</f>
        <v>3</v>
      </c>
      <c r="R179" s="199" t="str">
        <f>VLOOKUP(Q179,'Lookup Tables'!$A$38:$B$151,2,FALSE)</f>
        <v>Sept</v>
      </c>
      <c r="S179" s="191">
        <f>VLOOKUP(R179,'Lookup Tables'!$A$22:$B$33,2,FALSE)</f>
        <v>3</v>
      </c>
      <c r="T179" s="672">
        <f>VLOOKUP($E$4,'Lookup Tables'!$AQ$46:$BC$58,MATCH(PersonCalcYr3!$S179,'Lookup Tables'!$AQ$46:$BC$46),FALSE)</f>
        <v>10</v>
      </c>
      <c r="U179" s="190">
        <f>IF(P179&lt;T179,P179,T179)</f>
        <v>10</v>
      </c>
      <c r="V179" s="195">
        <f>IF((U179)&lt;=0,0,1)</f>
        <v>1</v>
      </c>
      <c r="W179" s="202">
        <f>(('Rate Tables'!$E44*$E179)*PersonCalcYr3!$U179)*$V179*$F179</f>
        <v>0</v>
      </c>
      <c r="X179" s="197">
        <f>P179-(U179*V179)</f>
        <v>2</v>
      </c>
      <c r="Y179" s="178"/>
      <c r="Z179" s="178"/>
      <c r="AA179" s="178"/>
      <c r="AB179" s="197">
        <f>IF(X179&lt;0,X179*0,1)*X179</f>
        <v>2</v>
      </c>
      <c r="AC179" s="203">
        <f>S179+(U179*V179)</f>
        <v>13</v>
      </c>
      <c r="AD179" s="199" t="str">
        <f>VLOOKUP(AC179,'Lookup Tables'!$A$38:$B$151,2,FALSE)</f>
        <v>July</v>
      </c>
      <c r="AE179" s="191">
        <f>VLOOKUP(AD179,'Lookup Tables'!$A$22:$B$33,2,FALSE)</f>
        <v>1</v>
      </c>
      <c r="AF179" s="222">
        <f>VLOOKUP($AE179,'Lookup Tables'!$AC$3:$AW$16,MATCH(PersonCalcYr3!$AB179,'Lookup Tables'!$AC$3:$AW$3),FALSE)</f>
        <v>2</v>
      </c>
      <c r="AG179" s="190">
        <f>IF(AB179&lt;AF179,AB179,AF179)</f>
        <v>2</v>
      </c>
      <c r="AH179" s="195">
        <f>IF((AG179)&lt;=0,0,1)</f>
        <v>1</v>
      </c>
      <c r="AI179" s="202">
        <f>(('Rate Tables'!$F44*$E179)*PersonCalcYr3!AG179)*AH179*$F179</f>
        <v>0</v>
      </c>
      <c r="AJ179" s="197">
        <f>AB179-(AG179*AH179)</f>
        <v>0</v>
      </c>
      <c r="AK179" s="178"/>
      <c r="AL179" s="178"/>
      <c r="AM179" s="197">
        <f>IF(AJ179&lt;0,AJ179*0,1)*AJ179</f>
        <v>0</v>
      </c>
      <c r="AN179" s="203">
        <f>AE179+(AG179*AH179)</f>
        <v>3</v>
      </c>
      <c r="AO179" s="199" t="str">
        <f>VLOOKUP(AN179,'Lookup Tables'!$A$38:$B$151,2,FALSE)</f>
        <v>Sept</v>
      </c>
      <c r="AP179" s="191">
        <f>VLOOKUP(AO179,'Lookup Tables'!$A$22:$B$33,2,FALSE)</f>
        <v>3</v>
      </c>
      <c r="AQ179" s="222">
        <f>VLOOKUP($AP179,'Lookup Tables'!$AC$3:$AW$16,MATCH(PersonCalcYr3!$AM179,'Lookup Tables'!$AC$3:$AW$3),FALSE)</f>
        <v>0</v>
      </c>
      <c r="AR179" s="190">
        <f>IF(AM179&lt;AQ179,AM179,AQ179)</f>
        <v>0</v>
      </c>
      <c r="AS179" s="195">
        <f>IF((AR179)&lt;=0,0,1)</f>
        <v>0</v>
      </c>
      <c r="AT179" s="202">
        <f>(('Rate Tables'!$G44*$E179)*PersonCalcYr3!AR179)*AS179*$F179</f>
        <v>0</v>
      </c>
      <c r="AU179" s="197">
        <f>AM179-(AR179*AS179)</f>
        <v>0</v>
      </c>
      <c r="AV179" s="202"/>
      <c r="AW179" s="202"/>
      <c r="AX179" s="197">
        <f>IF(AU179&lt;0,AU179*0,1)*AU179</f>
        <v>0</v>
      </c>
      <c r="AY179" s="203">
        <f>AP179+(AR179*AS179)</f>
        <v>3</v>
      </c>
      <c r="AZ179" s="199" t="str">
        <f>VLOOKUP(AY179,'Lookup Tables'!$A$38:$B$151,2,FALSE)</f>
        <v>Sept</v>
      </c>
      <c r="BA179" s="191">
        <f>VLOOKUP(AZ179,'Lookup Tables'!$A$22:$B$33,2,FALSE)</f>
        <v>3</v>
      </c>
      <c r="BB179" s="222">
        <f>VLOOKUP($BA179,'Lookup Tables'!$AC$3:$AW$16,MATCH(PersonCalcYr3!$AX179,'Lookup Tables'!$AC$3:$AW$3),FALSE)</f>
        <v>0</v>
      </c>
      <c r="BC179" s="190">
        <f>IF(AX179&lt;BB179,AX179,BB179)</f>
        <v>0</v>
      </c>
      <c r="BD179" s="195">
        <f>IF((BC179)&lt;=0,0,1)</f>
        <v>0</v>
      </c>
      <c r="BE179" s="202">
        <f>(('Rate Tables'!$H44*$E179)*PersonCalcYr3!BC179)*BD179*$F179</f>
        <v>0</v>
      </c>
      <c r="BF179" s="197">
        <f>AX179-(BC179*BD179)</f>
        <v>0</v>
      </c>
      <c r="BG179" s="202"/>
      <c r="BH179" s="202"/>
      <c r="BI179" s="202"/>
      <c r="BJ179" s="178"/>
      <c r="BK179" s="311"/>
      <c r="BL179" s="12"/>
      <c r="BM179" s="227"/>
      <c r="BN179" s="275"/>
      <c r="BO179" s="12"/>
    </row>
    <row r="180" spans="1:67" x14ac:dyDescent="0.25">
      <c r="A180" s="296"/>
      <c r="B180" s="12"/>
      <c r="C180" s="819" t="s">
        <v>732</v>
      </c>
      <c r="D180" s="182"/>
      <c r="E180" s="153"/>
      <c r="F180" s="153" t="s">
        <v>42</v>
      </c>
      <c r="G180" s="153" t="s">
        <v>41</v>
      </c>
      <c r="H180" s="183" t="s">
        <v>77</v>
      </c>
      <c r="I180" s="219" t="s">
        <v>51</v>
      </c>
      <c r="J180" s="153" t="s">
        <v>110</v>
      </c>
      <c r="K180" s="153" t="s">
        <v>53</v>
      </c>
      <c r="L180" s="153" t="s">
        <v>82</v>
      </c>
      <c r="M180" s="153" t="s">
        <v>32</v>
      </c>
      <c r="N180" s="153" t="s">
        <v>69</v>
      </c>
      <c r="O180" s="178"/>
      <c r="P180" s="153" t="s">
        <v>72</v>
      </c>
      <c r="Q180" s="183" t="s">
        <v>80</v>
      </c>
      <c r="R180" s="187" t="s">
        <v>81</v>
      </c>
      <c r="S180" s="183" t="s">
        <v>77</v>
      </c>
      <c r="T180" s="673" t="s">
        <v>107</v>
      </c>
      <c r="U180" s="153" t="s">
        <v>78</v>
      </c>
      <c r="V180" s="153" t="s">
        <v>82</v>
      </c>
      <c r="W180" s="153" t="s">
        <v>33</v>
      </c>
      <c r="X180" s="153" t="s">
        <v>69</v>
      </c>
      <c r="Y180" s="178"/>
      <c r="Z180" s="178"/>
      <c r="AA180" s="178"/>
      <c r="AB180" s="153" t="s">
        <v>72</v>
      </c>
      <c r="AC180" s="153" t="s">
        <v>80</v>
      </c>
      <c r="AD180" s="187" t="s">
        <v>81</v>
      </c>
      <c r="AE180" s="183" t="s">
        <v>77</v>
      </c>
      <c r="AF180" s="220" t="s">
        <v>107</v>
      </c>
      <c r="AG180" s="153" t="s">
        <v>79</v>
      </c>
      <c r="AH180" s="153" t="s">
        <v>82</v>
      </c>
      <c r="AI180" s="153" t="s">
        <v>34</v>
      </c>
      <c r="AJ180" s="153" t="s">
        <v>69</v>
      </c>
      <c r="AK180" s="178"/>
      <c r="AL180" s="178"/>
      <c r="AM180" s="153" t="s">
        <v>72</v>
      </c>
      <c r="AN180" s="153" t="s">
        <v>80</v>
      </c>
      <c r="AO180" s="187" t="s">
        <v>81</v>
      </c>
      <c r="AP180" s="183" t="s">
        <v>77</v>
      </c>
      <c r="AQ180" s="220" t="s">
        <v>107</v>
      </c>
      <c r="AR180" s="153" t="s">
        <v>79</v>
      </c>
      <c r="AS180" s="153" t="s">
        <v>82</v>
      </c>
      <c r="AT180" s="153" t="s">
        <v>34</v>
      </c>
      <c r="AU180" s="153" t="s">
        <v>69</v>
      </c>
      <c r="AV180" s="202"/>
      <c r="AW180" s="202"/>
      <c r="AX180" s="153" t="s">
        <v>72</v>
      </c>
      <c r="AY180" s="153" t="s">
        <v>80</v>
      </c>
      <c r="AZ180" s="187" t="s">
        <v>81</v>
      </c>
      <c r="BA180" s="183" t="s">
        <v>77</v>
      </c>
      <c r="BB180" s="220" t="s">
        <v>107</v>
      </c>
      <c r="BC180" s="153" t="s">
        <v>79</v>
      </c>
      <c r="BD180" s="153" t="s">
        <v>82</v>
      </c>
      <c r="BE180" s="153" t="s">
        <v>34</v>
      </c>
      <c r="BF180" s="153" t="s">
        <v>69</v>
      </c>
      <c r="BG180" s="202"/>
      <c r="BH180" s="202"/>
      <c r="BI180" s="202"/>
      <c r="BJ180" s="178"/>
      <c r="BK180" s="311"/>
      <c r="BL180" s="12"/>
      <c r="BM180" s="227"/>
      <c r="BN180" s="275"/>
      <c r="BO180" s="12"/>
    </row>
    <row r="181" spans="1:67" ht="15.75" thickBot="1" x14ac:dyDescent="0.3">
      <c r="A181" s="296"/>
      <c r="B181" s="12"/>
      <c r="C181" s="115"/>
      <c r="D181" s="188"/>
      <c r="E181" s="221">
        <f>BL173</f>
        <v>1</v>
      </c>
      <c r="F181" s="190">
        <f>IF($D$4=2025,1,0)</f>
        <v>0</v>
      </c>
      <c r="G181" s="178">
        <f>IF($B182="Yes",$C$5,$I183)</f>
        <v>12</v>
      </c>
      <c r="H181" s="191">
        <f>VLOOKUP(H182,'Lookup Tables'!$A$22:$B$33,2,FALSE)</f>
        <v>3</v>
      </c>
      <c r="I181" s="192">
        <f>VLOOKUP($E$4,'Lookup Tables'!$AB$46:$AN$58,MATCH($H181,'Lookup Tables'!$AB$46:$AN$46),FALSE)</f>
        <v>12</v>
      </c>
      <c r="J181" s="190">
        <f>12-I181</f>
        <v>0</v>
      </c>
      <c r="K181" s="190">
        <f>IF(G181&lt;J181,G181,J181)</f>
        <v>0</v>
      </c>
      <c r="L181" s="195">
        <f>IF(12-I181&gt;=1,1,0)</f>
        <v>0</v>
      </c>
      <c r="M181" s="202">
        <f>((('Rate Tables'!$E44*$E181)*PersonCalcYr3!$K181)*L181)*$F181</f>
        <v>0</v>
      </c>
      <c r="N181" s="197">
        <f>G181-(J181*L181)</f>
        <v>12</v>
      </c>
      <c r="O181" s="178"/>
      <c r="P181" s="197">
        <f>IF(N181&lt;0,N181*0,1)*N181</f>
        <v>12</v>
      </c>
      <c r="Q181" s="198">
        <f>VLOOKUP($H182,'Lookup Tables'!$A$22:$B$33,2,FALSE)+(K181*L181)</f>
        <v>3</v>
      </c>
      <c r="R181" s="199" t="str">
        <f>VLOOKUP(Q181,'Lookup Tables'!$A$38:$B$151,2,FALSE)</f>
        <v>Sept</v>
      </c>
      <c r="S181" s="191">
        <f>VLOOKUP(R181,'Lookup Tables'!$A$22:$B$33,2,FALSE)</f>
        <v>3</v>
      </c>
      <c r="T181" s="672">
        <f>VLOOKUP($E$4,'Lookup Tables'!$AQ$46:$BC$58,MATCH(PersonCalcYr3!$S181,'Lookup Tables'!$AQ$46:$BC$46),FALSE)</f>
        <v>10</v>
      </c>
      <c r="U181" s="190">
        <f>IF(P181&lt;T181,P181,T181)</f>
        <v>10</v>
      </c>
      <c r="V181" s="195">
        <f>IF((U181)&lt;=0,0,1)</f>
        <v>1</v>
      </c>
      <c r="W181" s="202">
        <f>(('Rate Tables'!$F44*$E181)*PersonCalcYr3!$U181)*$V181*$F181</f>
        <v>0</v>
      </c>
      <c r="X181" s="197">
        <f>P181-(U181*V181)</f>
        <v>2</v>
      </c>
      <c r="Y181" s="178"/>
      <c r="Z181" s="178"/>
      <c r="AA181" s="178"/>
      <c r="AB181" s="197">
        <f>IF(X181&lt;0,X181*0,1)*X181</f>
        <v>2</v>
      </c>
      <c r="AC181" s="203">
        <f>S181+(U181*V181)</f>
        <v>13</v>
      </c>
      <c r="AD181" s="199" t="str">
        <f>VLOOKUP(AC181,'Lookup Tables'!$A$38:$B$151,2,FALSE)</f>
        <v>July</v>
      </c>
      <c r="AE181" s="191">
        <f>VLOOKUP(AD181,'Lookup Tables'!$A$22:$B$33,2,FALSE)</f>
        <v>1</v>
      </c>
      <c r="AF181" s="222">
        <f>VLOOKUP($AE181,'Lookup Tables'!$AC$3:$AW$16,MATCH(PersonCalcYr3!$AB181,'Lookup Tables'!$AC$3:$AW$3),FALSE)</f>
        <v>2</v>
      </c>
      <c r="AG181" s="190">
        <f>IF(AB181&lt;AF181,AB181,AF181)</f>
        <v>2</v>
      </c>
      <c r="AH181" s="195">
        <f>IF((AG181)&lt;=0,0,1)</f>
        <v>1</v>
      </c>
      <c r="AI181" s="202">
        <f>(('Rate Tables'!$G44*$E181)*PersonCalcYr3!AG181)*AH181*$F181</f>
        <v>0</v>
      </c>
      <c r="AJ181" s="197">
        <f>AB181-(AG181*AH181)</f>
        <v>0</v>
      </c>
      <c r="AK181" s="178"/>
      <c r="AL181" s="178"/>
      <c r="AM181" s="197">
        <f>IF(AJ181&lt;0,AJ181*0,1)*AJ181</f>
        <v>0</v>
      </c>
      <c r="AN181" s="203">
        <f>AE181+(AG181*AH181)</f>
        <v>3</v>
      </c>
      <c r="AO181" s="199" t="str">
        <f>VLOOKUP(AN181,'Lookup Tables'!$A$38:$B$151,2,FALSE)</f>
        <v>Sept</v>
      </c>
      <c r="AP181" s="191">
        <f>VLOOKUP(AO181,'Lookup Tables'!$A$22:$B$33,2,FALSE)</f>
        <v>3</v>
      </c>
      <c r="AQ181" s="222">
        <f>VLOOKUP($AP181,'Lookup Tables'!$AC$3:$AW$16,MATCH(PersonCalcYr3!$AM181,'Lookup Tables'!$AC$3:$AW$3),FALSE)</f>
        <v>0</v>
      </c>
      <c r="AR181" s="190">
        <f>IF(AM181&lt;AQ181,AM181,AQ181)</f>
        <v>0</v>
      </c>
      <c r="AS181" s="195">
        <f>IF((AR181)&lt;=0,0,1)</f>
        <v>0</v>
      </c>
      <c r="AT181" s="202">
        <f>(('Rate Tables'!$H44*$E181)*PersonCalcYr3!AR181)*AS181*$F181</f>
        <v>0</v>
      </c>
      <c r="AU181" s="197">
        <f>AM181-(AR181*AS181)</f>
        <v>0</v>
      </c>
      <c r="AV181" s="202"/>
      <c r="AW181" s="202"/>
      <c r="AX181" s="197">
        <f>IF(AU181&lt;0,AU181*0,1)*AU181</f>
        <v>0</v>
      </c>
      <c r="AY181" s="203">
        <f>AP181+(AR181*AS181)</f>
        <v>3</v>
      </c>
      <c r="AZ181" s="199" t="str">
        <f>VLOOKUP(AY181,'Lookup Tables'!$A$38:$B$151,2,FALSE)</f>
        <v>Sept</v>
      </c>
      <c r="BA181" s="191">
        <f>VLOOKUP(AZ181,'Lookup Tables'!$A$22:$B$33,2,FALSE)</f>
        <v>3</v>
      </c>
      <c r="BB181" s="222">
        <f>VLOOKUP($BA181,'Lookup Tables'!$AC$3:$AW$16,MATCH(PersonCalcYr3!$AX181,'Lookup Tables'!$AC$3:$AW$3),FALSE)</f>
        <v>0</v>
      </c>
      <c r="BC181" s="190">
        <f>IF(AX181&lt;BB181,AX181,BB181)</f>
        <v>0</v>
      </c>
      <c r="BD181" s="195">
        <f>IF((BC181)&lt;=0,0,1)</f>
        <v>0</v>
      </c>
      <c r="BE181" s="202">
        <f>(('Rate Tables'!$I44*$E181)*PersonCalcYr3!BC181)*BD181*$F181</f>
        <v>0</v>
      </c>
      <c r="BF181" s="197">
        <f>AX181-(BC181*BD181)</f>
        <v>0</v>
      </c>
      <c r="BG181" s="202"/>
      <c r="BH181" s="202"/>
      <c r="BI181" s="202"/>
      <c r="BJ181" s="178"/>
      <c r="BK181" s="311"/>
      <c r="BL181" s="12"/>
      <c r="BM181" s="227"/>
      <c r="BN181" s="275"/>
      <c r="BO181" s="12"/>
    </row>
    <row r="182" spans="1:67" ht="15.75" thickBot="1" x14ac:dyDescent="0.3">
      <c r="A182" s="377" t="s">
        <v>431</v>
      </c>
      <c r="B182" s="375" t="str">
        <f>Personnel!U54</f>
        <v>YES</v>
      </c>
      <c r="C182" s="12"/>
      <c r="D182" s="178"/>
      <c r="E182" s="178"/>
      <c r="F182" s="178"/>
      <c r="G182" s="178" t="s">
        <v>430</v>
      </c>
      <c r="H182" s="178" t="str">
        <f>IF(B182="yes",$C$4,A184)</f>
        <v>Sept</v>
      </c>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53"/>
      <c r="AK182" s="178"/>
      <c r="AL182" s="178"/>
      <c r="AM182" s="178"/>
      <c r="AN182" s="178"/>
      <c r="AO182" s="178"/>
      <c r="AP182" s="178"/>
      <c r="AQ182" s="178"/>
      <c r="AR182" s="178"/>
      <c r="AS182" s="178"/>
      <c r="AT182" s="178"/>
      <c r="AU182" s="178"/>
      <c r="AV182" s="178"/>
      <c r="AW182" s="178"/>
      <c r="AX182" s="178"/>
      <c r="AY182" s="178"/>
      <c r="AZ182" s="178"/>
      <c r="BA182" s="178"/>
      <c r="BB182" s="178"/>
      <c r="BC182" s="178"/>
      <c r="BD182" s="178"/>
      <c r="BE182" s="178"/>
      <c r="BF182" s="178"/>
      <c r="BG182" s="178"/>
      <c r="BH182" s="178"/>
      <c r="BI182" s="178"/>
      <c r="BJ182" s="178"/>
      <c r="BK182" s="227"/>
      <c r="BL182" s="12"/>
      <c r="BM182" s="278" t="s">
        <v>415</v>
      </c>
      <c r="BN182" s="279">
        <f>BN173*BN177</f>
        <v>0</v>
      </c>
      <c r="BO182" s="398">
        <f>BN173+BN182+BO177</f>
        <v>0</v>
      </c>
    </row>
    <row r="183" spans="1:67" x14ac:dyDescent="0.25">
      <c r="A183" s="296" t="s">
        <v>439</v>
      </c>
      <c r="B183" s="114" t="s">
        <v>427</v>
      </c>
      <c r="C183" s="12"/>
      <c r="D183" s="178"/>
      <c r="E183" s="178"/>
      <c r="F183" s="178"/>
      <c r="G183" s="818" t="s">
        <v>665</v>
      </c>
      <c r="H183" s="11">
        <f>IF(H184&lt;$C$5,H184,$C$5)</f>
        <v>12</v>
      </c>
      <c r="I183" s="178">
        <f>IF(B184&lt;=H184,B184,H184)</f>
        <v>0</v>
      </c>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97"/>
      <c r="AK183" s="178"/>
      <c r="AL183" s="178"/>
      <c r="AM183" s="178"/>
      <c r="AN183" s="178"/>
      <c r="AO183" s="178"/>
      <c r="AP183" s="178"/>
      <c r="AQ183" s="178"/>
      <c r="AR183" s="178"/>
      <c r="AS183" s="178"/>
      <c r="AT183" s="178"/>
      <c r="AU183" s="178"/>
      <c r="AV183" s="178"/>
      <c r="AW183" s="178"/>
      <c r="AX183" s="178"/>
      <c r="AY183" s="178"/>
      <c r="AZ183" s="178"/>
      <c r="BA183" s="178"/>
      <c r="BB183" s="178"/>
      <c r="BC183" s="178"/>
      <c r="BD183" s="178"/>
      <c r="BE183" s="178"/>
      <c r="BF183" s="178"/>
      <c r="BG183" s="178"/>
      <c r="BH183" s="178"/>
      <c r="BI183" s="178"/>
      <c r="BJ183" s="178"/>
      <c r="BK183" s="227"/>
      <c r="BL183" s="12"/>
      <c r="BM183" s="278"/>
      <c r="BN183" s="284"/>
      <c r="BO183" s="399"/>
    </row>
    <row r="184" spans="1:67" x14ac:dyDescent="0.25">
      <c r="A184" s="397">
        <f>Personnel!U55</f>
        <v>0</v>
      </c>
      <c r="B184" s="273">
        <f>Personnel!U56</f>
        <v>0</v>
      </c>
      <c r="C184" s="12"/>
      <c r="D184" s="178"/>
      <c r="E184" s="178"/>
      <c r="F184" s="178"/>
      <c r="G184" s="818" t="s">
        <v>555</v>
      </c>
      <c r="H184" s="175">
        <f>VLOOKUP($E$4,'Lookup Tables'!$L$46:$AA$58,MATCH($H$175,'Lookup Tables'!$L$46:$X$46),FALSE)</f>
        <v>12</v>
      </c>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c r="BA184" s="178"/>
      <c r="BB184" s="178"/>
      <c r="BC184" s="178"/>
      <c r="BD184" s="178"/>
      <c r="BE184" s="178"/>
      <c r="BF184" s="178"/>
      <c r="BG184" s="178"/>
      <c r="BH184" s="178"/>
      <c r="BI184" s="178"/>
      <c r="BJ184" s="178"/>
      <c r="BK184" s="227"/>
      <c r="BL184" s="12"/>
      <c r="BM184" s="278"/>
      <c r="BN184" s="284"/>
      <c r="BO184" s="369"/>
    </row>
    <row r="185" spans="1:67" ht="15.75" thickBot="1" x14ac:dyDescent="0.3">
      <c r="A185" s="296"/>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227"/>
      <c r="BL185" s="12"/>
      <c r="BM185" s="12"/>
      <c r="BN185" s="275"/>
      <c r="BO185" s="149"/>
    </row>
    <row r="186" spans="1:67" ht="26.25" x14ac:dyDescent="0.25">
      <c r="A186" s="298" t="s">
        <v>174</v>
      </c>
      <c r="B186" s="294" t="s">
        <v>190</v>
      </c>
      <c r="C186" s="180" t="s">
        <v>606</v>
      </c>
      <c r="D186" s="179"/>
      <c r="E186" s="218"/>
      <c r="F186" s="218"/>
      <c r="G186" s="181"/>
      <c r="H186" s="181"/>
      <c r="I186" s="181"/>
      <c r="J186" s="181"/>
      <c r="K186" s="181"/>
      <c r="L186" s="181"/>
      <c r="M186" s="181"/>
      <c r="N186" s="181"/>
      <c r="O186" s="181"/>
      <c r="P186" s="181"/>
      <c r="Q186" s="181"/>
      <c r="R186" s="181"/>
      <c r="S186" s="181"/>
      <c r="T186" s="181"/>
      <c r="U186" s="181"/>
      <c r="V186" s="181"/>
      <c r="W186" s="181"/>
      <c r="X186" s="181"/>
      <c r="Y186" s="181"/>
      <c r="Z186" s="493">
        <v>44378</v>
      </c>
      <c r="AA186" s="493">
        <v>44742</v>
      </c>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c r="BF186" s="181"/>
      <c r="BG186" s="181"/>
      <c r="BH186" s="181"/>
      <c r="BI186" s="181"/>
      <c r="BJ186" s="181"/>
      <c r="BK186" s="282"/>
      <c r="BL186" s="144"/>
      <c r="BM186" s="144"/>
      <c r="BN186" s="283"/>
      <c r="BO186" s="12"/>
    </row>
    <row r="187" spans="1:67" x14ac:dyDescent="0.25">
      <c r="A187" s="354">
        <f>Personnel!C60</f>
        <v>0</v>
      </c>
      <c r="B187" s="346" t="str">
        <f>Personnel!C59</f>
        <v>Post Doc</v>
      </c>
      <c r="C187" s="347">
        <f>Personnel!C61</f>
        <v>0</v>
      </c>
      <c r="D187" s="188"/>
      <c r="E187" s="205"/>
      <c r="F187" s="205"/>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306" t="s">
        <v>413</v>
      </c>
      <c r="BL187" s="400">
        <f>Personnel!W59</f>
        <v>1</v>
      </c>
      <c r="BM187" s="278" t="s">
        <v>96</v>
      </c>
      <c r="BN187" s="279">
        <f>(M189+W189+AI189+AT189+BE189+M191+W191+AI191+AT191+BE191+M193+W193+AI193+AT193+BE193+M195+W195+AI195+AT195+BE195)*BL190</f>
        <v>0</v>
      </c>
      <c r="BO187" s="369"/>
    </row>
    <row r="188" spans="1:67" x14ac:dyDescent="0.25">
      <c r="A188" s="296"/>
      <c r="B188" s="12"/>
      <c r="C188" s="117" t="s">
        <v>30</v>
      </c>
      <c r="D188" s="182"/>
      <c r="E188" s="153"/>
      <c r="F188" s="153" t="s">
        <v>42</v>
      </c>
      <c r="G188" s="153" t="s">
        <v>41</v>
      </c>
      <c r="H188" s="183" t="s">
        <v>77</v>
      </c>
      <c r="I188" s="219" t="s">
        <v>50</v>
      </c>
      <c r="J188" s="153" t="s">
        <v>52</v>
      </c>
      <c r="K188" s="153" t="s">
        <v>35</v>
      </c>
      <c r="L188" s="153" t="s">
        <v>82</v>
      </c>
      <c r="M188" s="153" t="s">
        <v>31</v>
      </c>
      <c r="N188" s="153" t="s">
        <v>69</v>
      </c>
      <c r="O188" s="178"/>
      <c r="P188" s="153" t="s">
        <v>72</v>
      </c>
      <c r="Q188" s="183" t="s">
        <v>80</v>
      </c>
      <c r="R188" s="187" t="s">
        <v>81</v>
      </c>
      <c r="S188" s="183" t="s">
        <v>77</v>
      </c>
      <c r="T188" s="673" t="s">
        <v>107</v>
      </c>
      <c r="U188" s="153" t="s">
        <v>53</v>
      </c>
      <c r="V188" s="153" t="s">
        <v>82</v>
      </c>
      <c r="W188" s="153" t="s">
        <v>32</v>
      </c>
      <c r="X188" s="153" t="s">
        <v>69</v>
      </c>
      <c r="Y188" s="178"/>
      <c r="Z188" s="178"/>
      <c r="AA188" s="178"/>
      <c r="AB188" s="153" t="s">
        <v>72</v>
      </c>
      <c r="AC188" s="153" t="s">
        <v>80</v>
      </c>
      <c r="AD188" s="187" t="s">
        <v>81</v>
      </c>
      <c r="AE188" s="183" t="s">
        <v>77</v>
      </c>
      <c r="AF188" s="220" t="s">
        <v>107</v>
      </c>
      <c r="AG188" s="153" t="s">
        <v>78</v>
      </c>
      <c r="AH188" s="153" t="s">
        <v>82</v>
      </c>
      <c r="AI188" s="153" t="s">
        <v>33</v>
      </c>
      <c r="AJ188" s="153" t="s">
        <v>69</v>
      </c>
      <c r="AK188" s="178"/>
      <c r="AL188" s="178"/>
      <c r="AM188" s="153" t="s">
        <v>72</v>
      </c>
      <c r="AN188" s="153" t="s">
        <v>80</v>
      </c>
      <c r="AO188" s="187" t="s">
        <v>81</v>
      </c>
      <c r="AP188" s="183" t="s">
        <v>77</v>
      </c>
      <c r="AQ188" s="220" t="s">
        <v>107</v>
      </c>
      <c r="AR188" s="153" t="s">
        <v>78</v>
      </c>
      <c r="AS188" s="153" t="s">
        <v>82</v>
      </c>
      <c r="AT188" s="153" t="s">
        <v>33</v>
      </c>
      <c r="AU188" s="153" t="s">
        <v>69</v>
      </c>
      <c r="AV188" s="153"/>
      <c r="AW188" s="153"/>
      <c r="AX188" s="153" t="s">
        <v>72</v>
      </c>
      <c r="AY188" s="153" t="s">
        <v>80</v>
      </c>
      <c r="AZ188" s="187" t="s">
        <v>81</v>
      </c>
      <c r="BA188" s="183" t="s">
        <v>77</v>
      </c>
      <c r="BB188" s="220" t="s">
        <v>107</v>
      </c>
      <c r="BC188" s="153" t="s">
        <v>78</v>
      </c>
      <c r="BD188" s="153" t="s">
        <v>82</v>
      </c>
      <c r="BE188" s="153" t="s">
        <v>33</v>
      </c>
      <c r="BF188" s="153" t="s">
        <v>69</v>
      </c>
      <c r="BG188" s="153"/>
      <c r="BH188" s="153"/>
      <c r="BI188" s="153"/>
      <c r="BJ188" s="178"/>
      <c r="BK188" s="227"/>
      <c r="BL188" s="12"/>
      <c r="BM188" s="227"/>
      <c r="BN188" s="275"/>
      <c r="BO188" s="12" t="s">
        <v>418</v>
      </c>
    </row>
    <row r="189" spans="1:67" x14ac:dyDescent="0.25">
      <c r="A189" s="296"/>
      <c r="B189" s="12"/>
      <c r="C189" s="115"/>
      <c r="D189" s="188"/>
      <c r="E189" s="221">
        <f>BL187</f>
        <v>1</v>
      </c>
      <c r="F189" s="190">
        <f>IF($D$4=2022,1,0)</f>
        <v>0</v>
      </c>
      <c r="G189" s="178">
        <f>IF($B196="Yes",$C$5,$I197)</f>
        <v>12</v>
      </c>
      <c r="H189" s="191">
        <f>VLOOKUP(H196,'Lookup Tables'!$A$22:$B$33,2,FALSE)</f>
        <v>3</v>
      </c>
      <c r="I189" s="192">
        <f>VLOOKUP($E$4,'Lookup Tables'!$AB$46:$AN$58,MATCH($H189,'Lookup Tables'!$AB$46:$AN$46),FALSE)</f>
        <v>12</v>
      </c>
      <c r="J189" s="190">
        <f>12-I189</f>
        <v>0</v>
      </c>
      <c r="K189" s="190">
        <f>IF(G189&lt;J189,G189,J189)</f>
        <v>0</v>
      </c>
      <c r="L189" s="195">
        <f>IF(12-I189&gt;=1,1,0)</f>
        <v>0</v>
      </c>
      <c r="M189" s="202">
        <f>((('Rate Tables'!$B49*$E189)*PersonCalcYr3!$K189)*L189)*$F189</f>
        <v>0</v>
      </c>
      <c r="N189" s="197">
        <f>G189-(J189*L189)</f>
        <v>12</v>
      </c>
      <c r="O189" s="178"/>
      <c r="P189" s="197">
        <f>IF(N189&lt;0,N189*0,1)*N189</f>
        <v>12</v>
      </c>
      <c r="Q189" s="198">
        <f>VLOOKUP($H196,'Lookup Tables'!$A$22:$B$33,2,FALSE)+(K189*L189)</f>
        <v>3</v>
      </c>
      <c r="R189" s="199" t="str">
        <f>VLOOKUP(Q189,'Lookup Tables'!$A$38:$B$151,2,FALSE)</f>
        <v>Sept</v>
      </c>
      <c r="S189" s="191">
        <f>VLOOKUP(R189,'Lookup Tables'!$A$22:$B$33,2,FALSE)</f>
        <v>3</v>
      </c>
      <c r="T189" s="672">
        <f>VLOOKUP($E$4,'Lookup Tables'!$AQ$46:$BC$58,MATCH(PersonCalcYr3!$S189,'Lookup Tables'!$AQ$46:$BC$46),FALSE)</f>
        <v>10</v>
      </c>
      <c r="U189" s="190">
        <f>IF(P189&lt;T189,P189,T189)</f>
        <v>10</v>
      </c>
      <c r="V189" s="195">
        <f>IF((U189)&lt;=0,0,1)</f>
        <v>1</v>
      </c>
      <c r="W189" s="202">
        <f>(('Rate Tables'!$C49*$E189)*PersonCalcYr3!$U189)*$V189*$F189</f>
        <v>0</v>
      </c>
      <c r="X189" s="197">
        <f>P189-(U189*V189)</f>
        <v>2</v>
      </c>
      <c r="Y189" s="178"/>
      <c r="Z189" s="178"/>
      <c r="AA189" s="178"/>
      <c r="AB189" s="197">
        <f>IF(X189&lt;0,X189*0,1)*X189</f>
        <v>2</v>
      </c>
      <c r="AC189" s="203">
        <f>S189+(U189*V189)</f>
        <v>13</v>
      </c>
      <c r="AD189" s="199" t="str">
        <f>VLOOKUP(AC189,'Lookup Tables'!$A$38:$B$151,2,FALSE)</f>
        <v>July</v>
      </c>
      <c r="AE189" s="191">
        <f>VLOOKUP(AD189,'Lookup Tables'!$A$22:$B$33,2,FALSE)</f>
        <v>1</v>
      </c>
      <c r="AF189" s="222">
        <f>VLOOKUP($AE189,'Lookup Tables'!$AC$3:$AW$16,MATCH(PersonCalcYr3!$AB189,'Lookup Tables'!$AC$3:$AW$3),FALSE)</f>
        <v>2</v>
      </c>
      <c r="AG189" s="190">
        <f>IF(AB189&lt;AF189,AB189,AF189)</f>
        <v>2</v>
      </c>
      <c r="AH189" s="195">
        <f>IF((AG189)&lt;=0,0,1)</f>
        <v>1</v>
      </c>
      <c r="AI189" s="202">
        <f>(('Rate Tables'!$D49*$E189)*PersonCalcYr3!AG189)*AH189*$F189</f>
        <v>0</v>
      </c>
      <c r="AJ189" s="197">
        <f>AB189-(AG189*AH189)</f>
        <v>0</v>
      </c>
      <c r="AK189" s="178"/>
      <c r="AL189" s="178"/>
      <c r="AM189" s="197">
        <f>IF(AJ189&lt;0,AJ189*0,1)*AJ189</f>
        <v>0</v>
      </c>
      <c r="AN189" s="203">
        <f>AE189+(AG189*AH189)</f>
        <v>3</v>
      </c>
      <c r="AO189" s="199" t="str">
        <f>VLOOKUP(AN189,'Lookup Tables'!$A$38:$B$151,2,FALSE)</f>
        <v>Sept</v>
      </c>
      <c r="AP189" s="191">
        <f>VLOOKUP(AO189,'Lookup Tables'!$A$22:$B$33,2,FALSE)</f>
        <v>3</v>
      </c>
      <c r="AQ189" s="222">
        <f>VLOOKUP($AP189,'Lookup Tables'!$AC$3:$AW$16,MATCH(PersonCalcYr3!$AM189,'Lookup Tables'!$AC$3:$AW$3),FALSE)</f>
        <v>0</v>
      </c>
      <c r="AR189" s="190">
        <f>IF(AM189&lt;AQ189,AM189,AQ189)</f>
        <v>0</v>
      </c>
      <c r="AS189" s="195">
        <f>IF((AR189)&lt;=0,0,1)</f>
        <v>0</v>
      </c>
      <c r="AT189" s="202">
        <f>(('Rate Tables'!$E49*$E189)*PersonCalcYr3!AR189)*AS189*$F189</f>
        <v>0</v>
      </c>
      <c r="AU189" s="197">
        <f>AM189-(AR189*AS189)</f>
        <v>0</v>
      </c>
      <c r="AV189" s="202"/>
      <c r="AW189" s="202"/>
      <c r="AX189" s="197">
        <f>IF(AU189&lt;0,AU189*0,1)*AU189</f>
        <v>0</v>
      </c>
      <c r="AY189" s="203">
        <f>AP189+(AR189*AS189)</f>
        <v>3</v>
      </c>
      <c r="AZ189" s="199" t="str">
        <f>VLOOKUP(AY189,'Lookup Tables'!$A$38:$B$151,2,FALSE)</f>
        <v>Sept</v>
      </c>
      <c r="BA189" s="191">
        <f>VLOOKUP(AZ189,'Lookup Tables'!$A$22:$B$33,2,FALSE)</f>
        <v>3</v>
      </c>
      <c r="BB189" s="222">
        <f>VLOOKUP($BA189,'Lookup Tables'!$AC$3:$AW$16,MATCH(PersonCalcYr3!$AX189,'Lookup Tables'!$AC$3:$AW$3),FALSE)</f>
        <v>0</v>
      </c>
      <c r="BC189" s="190">
        <f>IF(AX189&lt;BB189,AX189,BB189)</f>
        <v>0</v>
      </c>
      <c r="BD189" s="195">
        <f>IF((BC189)&lt;=0,0,1)</f>
        <v>0</v>
      </c>
      <c r="BE189" s="202">
        <f>(('Rate Tables'!$F49*$E189)*PersonCalcYr3!BC189)*BD189*$F189</f>
        <v>0</v>
      </c>
      <c r="BF189" s="197">
        <f>AX189-(BC189*BD189)</f>
        <v>0</v>
      </c>
      <c r="BG189" s="202"/>
      <c r="BH189" s="202"/>
      <c r="BI189" s="202"/>
      <c r="BJ189" s="178"/>
      <c r="BK189" s="227"/>
      <c r="BL189" s="12"/>
      <c r="BM189" s="227" t="s">
        <v>451</v>
      </c>
      <c r="BN189" s="275">
        <f>(VLOOKUP($B187,'Rate Tables'!$O$2:$P$8,2,FALSE))</f>
        <v>0.28510000000000002</v>
      </c>
      <c r="BO189" s="372">
        <f>VLOOKUP('F&amp;ARatesCalc'!$B$1,'F&amp;ARatesCalc'!$A$3:$B$5,2,FALSE)</f>
        <v>0.56999999999999995</v>
      </c>
    </row>
    <row r="190" spans="1:67" x14ac:dyDescent="0.25">
      <c r="A190" s="296"/>
      <c r="B190" s="12"/>
      <c r="C190" s="117" t="s">
        <v>597</v>
      </c>
      <c r="D190" s="182"/>
      <c r="E190" s="153"/>
      <c r="F190" s="153" t="s">
        <v>42</v>
      </c>
      <c r="G190" s="153" t="s">
        <v>41</v>
      </c>
      <c r="H190" s="183" t="s">
        <v>77</v>
      </c>
      <c r="I190" s="219" t="s">
        <v>51</v>
      </c>
      <c r="J190" s="153" t="s">
        <v>110</v>
      </c>
      <c r="K190" s="153" t="s">
        <v>53</v>
      </c>
      <c r="L190" s="153" t="s">
        <v>82</v>
      </c>
      <c r="M190" s="153" t="s">
        <v>32</v>
      </c>
      <c r="N190" s="153" t="s">
        <v>69</v>
      </c>
      <c r="O190" s="178"/>
      <c r="P190" s="153" t="s">
        <v>72</v>
      </c>
      <c r="Q190" s="183" t="s">
        <v>80</v>
      </c>
      <c r="R190" s="187" t="s">
        <v>81</v>
      </c>
      <c r="S190" s="183" t="s">
        <v>77</v>
      </c>
      <c r="T190" s="673" t="s">
        <v>107</v>
      </c>
      <c r="U190" s="153" t="s">
        <v>78</v>
      </c>
      <c r="V190" s="153" t="s">
        <v>82</v>
      </c>
      <c r="W190" s="153" t="s">
        <v>33</v>
      </c>
      <c r="X190" s="153" t="s">
        <v>69</v>
      </c>
      <c r="Y190" s="178"/>
      <c r="Z190" s="178"/>
      <c r="AA190" s="178"/>
      <c r="AB190" s="153" t="s">
        <v>72</v>
      </c>
      <c r="AC190" s="153" t="s">
        <v>80</v>
      </c>
      <c r="AD190" s="187" t="s">
        <v>81</v>
      </c>
      <c r="AE190" s="183" t="s">
        <v>77</v>
      </c>
      <c r="AF190" s="220" t="s">
        <v>107</v>
      </c>
      <c r="AG190" s="153" t="s">
        <v>79</v>
      </c>
      <c r="AH190" s="153" t="s">
        <v>82</v>
      </c>
      <c r="AI190" s="153" t="s">
        <v>34</v>
      </c>
      <c r="AJ190" s="153" t="s">
        <v>69</v>
      </c>
      <c r="AK190" s="178"/>
      <c r="AL190" s="178"/>
      <c r="AM190" s="153" t="s">
        <v>72</v>
      </c>
      <c r="AN190" s="153" t="s">
        <v>80</v>
      </c>
      <c r="AO190" s="187" t="s">
        <v>81</v>
      </c>
      <c r="AP190" s="183" t="s">
        <v>77</v>
      </c>
      <c r="AQ190" s="220" t="s">
        <v>107</v>
      </c>
      <c r="AR190" s="153" t="s">
        <v>79</v>
      </c>
      <c r="AS190" s="153" t="s">
        <v>82</v>
      </c>
      <c r="AT190" s="153" t="s">
        <v>34</v>
      </c>
      <c r="AU190" s="153" t="s">
        <v>69</v>
      </c>
      <c r="AV190" s="153"/>
      <c r="AW190" s="153"/>
      <c r="AX190" s="153" t="s">
        <v>72</v>
      </c>
      <c r="AY190" s="153" t="s">
        <v>80</v>
      </c>
      <c r="AZ190" s="187" t="s">
        <v>81</v>
      </c>
      <c r="BA190" s="183" t="s">
        <v>77</v>
      </c>
      <c r="BB190" s="220" t="s">
        <v>107</v>
      </c>
      <c r="BC190" s="153" t="s">
        <v>79</v>
      </c>
      <c r="BD190" s="153" t="s">
        <v>82</v>
      </c>
      <c r="BE190" s="153" t="s">
        <v>34</v>
      </c>
      <c r="BF190" s="153" t="s">
        <v>69</v>
      </c>
      <c r="BG190" s="153"/>
      <c r="BH190" s="153"/>
      <c r="BI190" s="153"/>
      <c r="BJ190" s="178"/>
      <c r="BK190" s="307" t="s">
        <v>450</v>
      </c>
      <c r="BL190" s="349">
        <f>IF(B187=0,0,1)</f>
        <v>1</v>
      </c>
      <c r="BM190" s="227" t="s">
        <v>452</v>
      </c>
      <c r="BN190" s="275">
        <f>_xlfn.IFNA(BN189,0)</f>
        <v>0.28510000000000002</v>
      </c>
      <c r="BO190" s="12" t="s">
        <v>417</v>
      </c>
    </row>
    <row r="191" spans="1:67" x14ac:dyDescent="0.25">
      <c r="A191" s="296"/>
      <c r="B191" s="12"/>
      <c r="C191" s="115"/>
      <c r="D191" s="188"/>
      <c r="E191" s="221">
        <f>BL187</f>
        <v>1</v>
      </c>
      <c r="F191" s="190">
        <f>IF($D$4=2023,1,0)</f>
        <v>0</v>
      </c>
      <c r="G191" s="178">
        <f>IF($B196="Yes",$C$5,$I197)</f>
        <v>12</v>
      </c>
      <c r="H191" s="191">
        <f>VLOOKUP(H196,'Lookup Tables'!$A$22:$B$33,2,FALSE)</f>
        <v>3</v>
      </c>
      <c r="I191" s="192">
        <f>VLOOKUP($E$4,'Lookup Tables'!$AB$46:$AN$58,MATCH($H191,'Lookup Tables'!$AB$46:$AN$46),FALSE)</f>
        <v>12</v>
      </c>
      <c r="J191" s="190">
        <f>12-I191</f>
        <v>0</v>
      </c>
      <c r="K191" s="190">
        <f>IF(G191&lt;J191,G191,J191)</f>
        <v>0</v>
      </c>
      <c r="L191" s="195">
        <f>IF(12-I191&gt;=1,1,0)</f>
        <v>0</v>
      </c>
      <c r="M191" s="202">
        <f>((('Rate Tables'!$C49*$E191)*PersonCalcYr3!$K191)*L191)*$F191</f>
        <v>0</v>
      </c>
      <c r="N191" s="197">
        <f>G191-(J191*L191)</f>
        <v>12</v>
      </c>
      <c r="O191" s="178"/>
      <c r="P191" s="197">
        <f>IF(N191&lt;0,N191*0,1)*N191</f>
        <v>12</v>
      </c>
      <c r="Q191" s="198">
        <f>VLOOKUP($H196,'Lookup Tables'!$A$22:$B$33,2,FALSE)+(K191*L191)</f>
        <v>3</v>
      </c>
      <c r="R191" s="199" t="str">
        <f>VLOOKUP(Q191,'Lookup Tables'!$A$38:$B$151,2,FALSE)</f>
        <v>Sept</v>
      </c>
      <c r="S191" s="191">
        <f>VLOOKUP(R191,'Lookup Tables'!$A$22:$B$33,2,FALSE)</f>
        <v>3</v>
      </c>
      <c r="T191" s="672">
        <f>VLOOKUP($E$4,'Lookup Tables'!$AQ$46:$BC$58,MATCH(PersonCalcYr3!$S191,'Lookup Tables'!$AQ$46:$BC$46),FALSE)</f>
        <v>10</v>
      </c>
      <c r="U191" s="190">
        <f>IF(P191&lt;T191,P191,T191)</f>
        <v>10</v>
      </c>
      <c r="V191" s="195">
        <f>IF((U191)&lt;=0,0,1)</f>
        <v>1</v>
      </c>
      <c r="W191" s="202">
        <f>(('Rate Tables'!$D49*$E191)*PersonCalcYr3!$U191)*$V191*$F191</f>
        <v>0</v>
      </c>
      <c r="X191" s="197">
        <f>P191-(U191*V191)</f>
        <v>2</v>
      </c>
      <c r="Y191" s="178"/>
      <c r="Z191" s="178"/>
      <c r="AA191" s="178"/>
      <c r="AB191" s="197">
        <f>IF(X191&lt;0,X191*0,1)*X191</f>
        <v>2</v>
      </c>
      <c r="AC191" s="203">
        <f>S191+(U191*V191)</f>
        <v>13</v>
      </c>
      <c r="AD191" s="199" t="str">
        <f>VLOOKUP(AC191,'Lookup Tables'!$A$38:$B$151,2,FALSE)</f>
        <v>July</v>
      </c>
      <c r="AE191" s="191">
        <f>VLOOKUP(AD191,'Lookup Tables'!$A$22:$B$33,2,FALSE)</f>
        <v>1</v>
      </c>
      <c r="AF191" s="222">
        <f>VLOOKUP($AE191,'Lookup Tables'!$AC$3:$AW$16,MATCH(PersonCalcYr3!$AB191,'Lookup Tables'!$AC$3:$AW$3),FALSE)</f>
        <v>2</v>
      </c>
      <c r="AG191" s="190">
        <f>IF(AB191&lt;AF191,AB191,AF191)</f>
        <v>2</v>
      </c>
      <c r="AH191" s="195">
        <f>IF((AG191)&lt;=0,0,1)</f>
        <v>1</v>
      </c>
      <c r="AI191" s="202">
        <f>(('Rate Tables'!$E49*$E191)*PersonCalcYr3!AG191)*AH191*$F191</f>
        <v>0</v>
      </c>
      <c r="AJ191" s="197">
        <f>AB191-(AG191*AH191)</f>
        <v>0</v>
      </c>
      <c r="AK191" s="178"/>
      <c r="AL191" s="178"/>
      <c r="AM191" s="197">
        <f>IF(AJ191&lt;0,AJ191*0,1)*AJ191</f>
        <v>0</v>
      </c>
      <c r="AN191" s="203">
        <f>AE191+(AG191*AH191)</f>
        <v>3</v>
      </c>
      <c r="AO191" s="199" t="str">
        <f>VLOOKUP(AN191,'Lookup Tables'!$A$38:$B$151,2,FALSE)</f>
        <v>Sept</v>
      </c>
      <c r="AP191" s="191">
        <f>VLOOKUP(AO191,'Lookup Tables'!$A$22:$B$33,2,FALSE)</f>
        <v>3</v>
      </c>
      <c r="AQ191" s="222">
        <f>VLOOKUP($AP191,'Lookup Tables'!$AC$3:$AW$16,MATCH(PersonCalcYr3!$AM191,'Lookup Tables'!$AC$3:$AW$3),FALSE)</f>
        <v>0</v>
      </c>
      <c r="AR191" s="190">
        <f>IF(AM191&lt;AQ191,AM191,AQ191)</f>
        <v>0</v>
      </c>
      <c r="AS191" s="195">
        <f>IF((AR191)&lt;=0,0,1)</f>
        <v>0</v>
      </c>
      <c r="AT191" s="202">
        <f>(('Rate Tables'!$F49*$E191)*PersonCalcYr3!AR191)*AS191*$F191</f>
        <v>0</v>
      </c>
      <c r="AU191" s="197">
        <f>AM191-(AR191*AS191)</f>
        <v>0</v>
      </c>
      <c r="AV191" s="202"/>
      <c r="AW191" s="202"/>
      <c r="AX191" s="197">
        <f>IF(AU191&lt;0,AU191*0,1)*AU191</f>
        <v>0</v>
      </c>
      <c r="AY191" s="203">
        <f>AP191+(AR191*AS191)</f>
        <v>3</v>
      </c>
      <c r="AZ191" s="199" t="str">
        <f>VLOOKUP(AY191,'Lookup Tables'!$A$38:$B$151,2,FALSE)</f>
        <v>Sept</v>
      </c>
      <c r="BA191" s="191">
        <f>VLOOKUP(AZ191,'Lookup Tables'!$A$22:$B$33,2,FALSE)</f>
        <v>3</v>
      </c>
      <c r="BB191" s="222">
        <f>VLOOKUP($BA191,'Lookup Tables'!$AC$3:$AW$16,MATCH(PersonCalcYr3!$AX191,'Lookup Tables'!$AC$3:$AW$3),FALSE)</f>
        <v>0</v>
      </c>
      <c r="BC191" s="190">
        <f>IF(AX191&lt;BB191,AX191,BB191)</f>
        <v>0</v>
      </c>
      <c r="BD191" s="195">
        <f>IF((BC191)&lt;=0,0,1)</f>
        <v>0</v>
      </c>
      <c r="BE191" s="202">
        <f>(('Rate Tables'!$G49*$E191)*PersonCalcYr3!BC191)*BD191*$F191</f>
        <v>0</v>
      </c>
      <c r="BF191" s="197">
        <f>AX191-(BC191*BD191)</f>
        <v>0</v>
      </c>
      <c r="BG191" s="202"/>
      <c r="BH191" s="202"/>
      <c r="BI191" s="202"/>
      <c r="BJ191" s="178"/>
      <c r="BK191" s="311"/>
      <c r="BL191" s="12"/>
      <c r="BM191" s="227" t="s">
        <v>453</v>
      </c>
      <c r="BN191" s="275">
        <f>IF(BN190=0,0,BN189)</f>
        <v>0.28510000000000002</v>
      </c>
      <c r="BO191" s="12">
        <f>(BN187+BN196)*BO189</f>
        <v>0</v>
      </c>
    </row>
    <row r="192" spans="1:67" x14ac:dyDescent="0.25">
      <c r="A192" s="296"/>
      <c r="B192" s="12"/>
      <c r="C192" s="117" t="s">
        <v>664</v>
      </c>
      <c r="D192" s="182"/>
      <c r="E192" s="153"/>
      <c r="F192" s="153" t="s">
        <v>42</v>
      </c>
      <c r="G192" s="153" t="s">
        <v>41</v>
      </c>
      <c r="H192" s="183" t="s">
        <v>77</v>
      </c>
      <c r="I192" s="219" t="s">
        <v>51</v>
      </c>
      <c r="J192" s="153" t="s">
        <v>110</v>
      </c>
      <c r="K192" s="153" t="s">
        <v>53</v>
      </c>
      <c r="L192" s="153" t="s">
        <v>82</v>
      </c>
      <c r="M192" s="153" t="s">
        <v>32</v>
      </c>
      <c r="N192" s="153" t="s">
        <v>69</v>
      </c>
      <c r="O192" s="178"/>
      <c r="P192" s="153" t="s">
        <v>72</v>
      </c>
      <c r="Q192" s="183" t="s">
        <v>80</v>
      </c>
      <c r="R192" s="187" t="s">
        <v>81</v>
      </c>
      <c r="S192" s="183" t="s">
        <v>77</v>
      </c>
      <c r="T192" s="673" t="s">
        <v>107</v>
      </c>
      <c r="U192" s="153" t="s">
        <v>78</v>
      </c>
      <c r="V192" s="153" t="s">
        <v>82</v>
      </c>
      <c r="W192" s="153" t="s">
        <v>33</v>
      </c>
      <c r="X192" s="153" t="s">
        <v>69</v>
      </c>
      <c r="Y192" s="178"/>
      <c r="Z192" s="178"/>
      <c r="AA192" s="178"/>
      <c r="AB192" s="153" t="s">
        <v>72</v>
      </c>
      <c r="AC192" s="153" t="s">
        <v>80</v>
      </c>
      <c r="AD192" s="187" t="s">
        <v>81</v>
      </c>
      <c r="AE192" s="183" t="s">
        <v>77</v>
      </c>
      <c r="AF192" s="220" t="s">
        <v>107</v>
      </c>
      <c r="AG192" s="153" t="s">
        <v>79</v>
      </c>
      <c r="AH192" s="153" t="s">
        <v>82</v>
      </c>
      <c r="AI192" s="153" t="s">
        <v>34</v>
      </c>
      <c r="AJ192" s="153" t="s">
        <v>69</v>
      </c>
      <c r="AK192" s="178"/>
      <c r="AL192" s="178"/>
      <c r="AM192" s="153" t="s">
        <v>72</v>
      </c>
      <c r="AN192" s="153" t="s">
        <v>80</v>
      </c>
      <c r="AO192" s="187" t="s">
        <v>81</v>
      </c>
      <c r="AP192" s="183" t="s">
        <v>77</v>
      </c>
      <c r="AQ192" s="220" t="s">
        <v>107</v>
      </c>
      <c r="AR192" s="153" t="s">
        <v>79</v>
      </c>
      <c r="AS192" s="153" t="s">
        <v>82</v>
      </c>
      <c r="AT192" s="153" t="s">
        <v>34</v>
      </c>
      <c r="AU192" s="153" t="s">
        <v>69</v>
      </c>
      <c r="AV192" s="202"/>
      <c r="AW192" s="202"/>
      <c r="AX192" s="153" t="s">
        <v>72</v>
      </c>
      <c r="AY192" s="153" t="s">
        <v>80</v>
      </c>
      <c r="AZ192" s="187" t="s">
        <v>81</v>
      </c>
      <c r="BA192" s="183" t="s">
        <v>77</v>
      </c>
      <c r="BB192" s="220" t="s">
        <v>107</v>
      </c>
      <c r="BC192" s="153" t="s">
        <v>79</v>
      </c>
      <c r="BD192" s="153" t="s">
        <v>82</v>
      </c>
      <c r="BE192" s="153" t="s">
        <v>34</v>
      </c>
      <c r="BF192" s="153" t="s">
        <v>69</v>
      </c>
      <c r="BG192" s="202"/>
      <c r="BH192" s="202"/>
      <c r="BI192" s="202"/>
      <c r="BJ192" s="178"/>
      <c r="BK192" s="311"/>
      <c r="BL192" s="12"/>
      <c r="BM192" s="227"/>
      <c r="BN192" s="275"/>
      <c r="BO192" s="12"/>
    </row>
    <row r="193" spans="1:67" x14ac:dyDescent="0.25">
      <c r="A193" s="296"/>
      <c r="B193" s="12"/>
      <c r="C193" s="115"/>
      <c r="D193" s="188"/>
      <c r="E193" s="221">
        <f>BL187</f>
        <v>1</v>
      </c>
      <c r="F193" s="190">
        <f>IF($D$4=2024,1,0)</f>
        <v>1</v>
      </c>
      <c r="G193" s="178">
        <f>IF($B196="Yes",$C$5,$I197)</f>
        <v>12</v>
      </c>
      <c r="H193" s="191">
        <f>VLOOKUP(H196,'Lookup Tables'!$A$22:$B$33,2,FALSE)</f>
        <v>3</v>
      </c>
      <c r="I193" s="192">
        <f>VLOOKUP($E$4,'Lookup Tables'!$AB$46:$AN$58,MATCH($H193,'Lookup Tables'!$AB$46:$AN$46),FALSE)</f>
        <v>12</v>
      </c>
      <c r="J193" s="190">
        <f>12-I193</f>
        <v>0</v>
      </c>
      <c r="K193" s="190">
        <f>IF(G193&lt;J193,G193,J193)</f>
        <v>0</v>
      </c>
      <c r="L193" s="195">
        <f>IF(12-I193&gt;=1,1,0)</f>
        <v>0</v>
      </c>
      <c r="M193" s="202">
        <f>((('Rate Tables'!$D49*$E193)*PersonCalcYr3!$K193)*L193)*$F193</f>
        <v>0</v>
      </c>
      <c r="N193" s="197">
        <f>G193-(J193*L193)</f>
        <v>12</v>
      </c>
      <c r="O193" s="178"/>
      <c r="P193" s="197">
        <f>IF(N193&lt;0,N193*0,1)*N193</f>
        <v>12</v>
      </c>
      <c r="Q193" s="198">
        <f>VLOOKUP($H196,'Lookup Tables'!$A$22:$B$33,2,FALSE)+(K193*L193)</f>
        <v>3</v>
      </c>
      <c r="R193" s="199" t="str">
        <f>VLOOKUP(Q193,'Lookup Tables'!$A$38:$B$151,2,FALSE)</f>
        <v>Sept</v>
      </c>
      <c r="S193" s="191">
        <f>VLOOKUP(R193,'Lookup Tables'!$A$22:$B$33,2,FALSE)</f>
        <v>3</v>
      </c>
      <c r="T193" s="672">
        <f>VLOOKUP($E$4,'Lookup Tables'!$AQ$46:$BC$58,MATCH(PersonCalcYr3!$S193,'Lookup Tables'!$AQ$46:$BC$46),FALSE)</f>
        <v>10</v>
      </c>
      <c r="U193" s="190">
        <f>IF(P193&lt;T193,P193,T193)</f>
        <v>10</v>
      </c>
      <c r="V193" s="195">
        <f>IF((U193)&lt;=0,0,1)</f>
        <v>1</v>
      </c>
      <c r="W193" s="202">
        <f>(('Rate Tables'!$E49*$E193)*PersonCalcYr3!$U193)*$V193*$F193</f>
        <v>0</v>
      </c>
      <c r="X193" s="197">
        <f>P193-(U193*V193)</f>
        <v>2</v>
      </c>
      <c r="Y193" s="178"/>
      <c r="Z193" s="178"/>
      <c r="AA193" s="178"/>
      <c r="AB193" s="197">
        <f>IF(X193&lt;0,X193*0,1)*X193</f>
        <v>2</v>
      </c>
      <c r="AC193" s="203">
        <f>S193+(U193*V193)</f>
        <v>13</v>
      </c>
      <c r="AD193" s="199" t="str">
        <f>VLOOKUP(AC193,'Lookup Tables'!$A$38:$B$151,2,FALSE)</f>
        <v>July</v>
      </c>
      <c r="AE193" s="191">
        <f>VLOOKUP(AD193,'Lookup Tables'!$A$22:$B$33,2,FALSE)</f>
        <v>1</v>
      </c>
      <c r="AF193" s="222">
        <f>VLOOKUP($AE193,'Lookup Tables'!$AC$3:$AW$16,MATCH(PersonCalcYr3!$AB193,'Lookup Tables'!$AC$3:$AW$3),FALSE)</f>
        <v>2</v>
      </c>
      <c r="AG193" s="190">
        <f>IF(AB193&lt;AF193,AB193,AF193)</f>
        <v>2</v>
      </c>
      <c r="AH193" s="195">
        <f>IF((AG193)&lt;=0,0,1)</f>
        <v>1</v>
      </c>
      <c r="AI193" s="202">
        <f>(('Rate Tables'!$F49*$E193)*PersonCalcYr3!AG193)*AH193*$F193</f>
        <v>0</v>
      </c>
      <c r="AJ193" s="197">
        <f>AB193-(AG193*AH193)</f>
        <v>0</v>
      </c>
      <c r="AK193" s="178"/>
      <c r="AL193" s="178"/>
      <c r="AM193" s="197">
        <f>IF(AJ193&lt;0,AJ193*0,1)*AJ193</f>
        <v>0</v>
      </c>
      <c r="AN193" s="203">
        <f>AE193+(AG193*AH193)</f>
        <v>3</v>
      </c>
      <c r="AO193" s="199" t="str">
        <f>VLOOKUP(AN193,'Lookup Tables'!$A$38:$B$151,2,FALSE)</f>
        <v>Sept</v>
      </c>
      <c r="AP193" s="191">
        <f>VLOOKUP(AO193,'Lookup Tables'!$A$22:$B$33,2,FALSE)</f>
        <v>3</v>
      </c>
      <c r="AQ193" s="222">
        <f>VLOOKUP($AP193,'Lookup Tables'!$AC$3:$AW$16,MATCH(PersonCalcYr3!$AM193,'Lookup Tables'!$AC$3:$AW$3),FALSE)</f>
        <v>0</v>
      </c>
      <c r="AR193" s="190">
        <f>IF(AM193&lt;AQ193,AM193,AQ193)</f>
        <v>0</v>
      </c>
      <c r="AS193" s="195">
        <f>IF((AR193)&lt;=0,0,1)</f>
        <v>0</v>
      </c>
      <c r="AT193" s="202">
        <f>(('Rate Tables'!$G49*$E193)*PersonCalcYr3!AR193)*AS193*$F193</f>
        <v>0</v>
      </c>
      <c r="AU193" s="197">
        <f>AM193-(AR193*AS193)</f>
        <v>0</v>
      </c>
      <c r="AV193" s="202"/>
      <c r="AW193" s="202"/>
      <c r="AX193" s="197">
        <f>IF(AU193&lt;0,AU193*0,1)*AU193</f>
        <v>0</v>
      </c>
      <c r="AY193" s="203">
        <f>AP193+(AR193*AS193)</f>
        <v>3</v>
      </c>
      <c r="AZ193" s="199" t="str">
        <f>VLOOKUP(AY193,'Lookup Tables'!$A$38:$B$151,2,FALSE)</f>
        <v>Sept</v>
      </c>
      <c r="BA193" s="191">
        <f>VLOOKUP(AZ193,'Lookup Tables'!$A$22:$B$33,2,FALSE)</f>
        <v>3</v>
      </c>
      <c r="BB193" s="222">
        <f>VLOOKUP($BA193,'Lookup Tables'!$AC$3:$AW$16,MATCH(PersonCalcYr3!$AX193,'Lookup Tables'!$AC$3:$AW$3),FALSE)</f>
        <v>0</v>
      </c>
      <c r="BC193" s="190">
        <f>IF(AX193&lt;BB193,AX193,BB193)</f>
        <v>0</v>
      </c>
      <c r="BD193" s="195">
        <f>IF((BC193)&lt;=0,0,1)</f>
        <v>0</v>
      </c>
      <c r="BE193" s="202">
        <f>(('Rate Tables'!$H49*$E193)*PersonCalcYr3!BC193)*BD193*$F193</f>
        <v>0</v>
      </c>
      <c r="BF193" s="197">
        <f>AX193-(BC193*BD193)</f>
        <v>0</v>
      </c>
      <c r="BG193" s="202"/>
      <c r="BH193" s="202"/>
      <c r="BI193" s="202"/>
      <c r="BJ193" s="178"/>
      <c r="BK193" s="311"/>
      <c r="BL193" s="12"/>
      <c r="BM193" s="227"/>
      <c r="BN193" s="275"/>
      <c r="BO193" s="12"/>
    </row>
    <row r="194" spans="1:67" x14ac:dyDescent="0.25">
      <c r="A194" s="296"/>
      <c r="B194" s="12"/>
      <c r="C194" s="819" t="s">
        <v>732</v>
      </c>
      <c r="D194" s="182"/>
      <c r="E194" s="153"/>
      <c r="F194" s="153" t="s">
        <v>42</v>
      </c>
      <c r="G194" s="153" t="s">
        <v>41</v>
      </c>
      <c r="H194" s="183" t="s">
        <v>77</v>
      </c>
      <c r="I194" s="219" t="s">
        <v>51</v>
      </c>
      <c r="J194" s="153" t="s">
        <v>110</v>
      </c>
      <c r="K194" s="153" t="s">
        <v>53</v>
      </c>
      <c r="L194" s="153" t="s">
        <v>82</v>
      </c>
      <c r="M194" s="153" t="s">
        <v>32</v>
      </c>
      <c r="N194" s="153" t="s">
        <v>69</v>
      </c>
      <c r="O194" s="178"/>
      <c r="P194" s="153" t="s">
        <v>72</v>
      </c>
      <c r="Q194" s="183" t="s">
        <v>80</v>
      </c>
      <c r="R194" s="187" t="s">
        <v>81</v>
      </c>
      <c r="S194" s="183" t="s">
        <v>77</v>
      </c>
      <c r="T194" s="673" t="s">
        <v>107</v>
      </c>
      <c r="U194" s="153" t="s">
        <v>78</v>
      </c>
      <c r="V194" s="153" t="s">
        <v>82</v>
      </c>
      <c r="W194" s="153" t="s">
        <v>33</v>
      </c>
      <c r="X194" s="153" t="s">
        <v>69</v>
      </c>
      <c r="Y194" s="178"/>
      <c r="Z194" s="178"/>
      <c r="AA194" s="178"/>
      <c r="AB194" s="153" t="s">
        <v>72</v>
      </c>
      <c r="AC194" s="153" t="s">
        <v>80</v>
      </c>
      <c r="AD194" s="187" t="s">
        <v>81</v>
      </c>
      <c r="AE194" s="183" t="s">
        <v>77</v>
      </c>
      <c r="AF194" s="220" t="s">
        <v>107</v>
      </c>
      <c r="AG194" s="153" t="s">
        <v>79</v>
      </c>
      <c r="AH194" s="153" t="s">
        <v>82</v>
      </c>
      <c r="AI194" s="153" t="s">
        <v>34</v>
      </c>
      <c r="AJ194" s="153" t="s">
        <v>69</v>
      </c>
      <c r="AK194" s="178"/>
      <c r="AL194" s="178"/>
      <c r="AM194" s="153" t="s">
        <v>72</v>
      </c>
      <c r="AN194" s="153" t="s">
        <v>80</v>
      </c>
      <c r="AO194" s="187" t="s">
        <v>81</v>
      </c>
      <c r="AP194" s="183" t="s">
        <v>77</v>
      </c>
      <c r="AQ194" s="220" t="s">
        <v>107</v>
      </c>
      <c r="AR194" s="153" t="s">
        <v>79</v>
      </c>
      <c r="AS194" s="153" t="s">
        <v>82</v>
      </c>
      <c r="AT194" s="153" t="s">
        <v>34</v>
      </c>
      <c r="AU194" s="153" t="s">
        <v>69</v>
      </c>
      <c r="AV194" s="202"/>
      <c r="AW194" s="202"/>
      <c r="AX194" s="153" t="s">
        <v>72</v>
      </c>
      <c r="AY194" s="153" t="s">
        <v>80</v>
      </c>
      <c r="AZ194" s="187" t="s">
        <v>81</v>
      </c>
      <c r="BA194" s="183" t="s">
        <v>77</v>
      </c>
      <c r="BB194" s="220" t="s">
        <v>107</v>
      </c>
      <c r="BC194" s="153" t="s">
        <v>79</v>
      </c>
      <c r="BD194" s="153" t="s">
        <v>82</v>
      </c>
      <c r="BE194" s="153" t="s">
        <v>34</v>
      </c>
      <c r="BF194" s="153" t="s">
        <v>69</v>
      </c>
      <c r="BG194" s="202"/>
      <c r="BH194" s="202"/>
      <c r="BI194" s="202"/>
      <c r="BJ194" s="178"/>
      <c r="BK194" s="311"/>
      <c r="BL194" s="12"/>
      <c r="BM194" s="227"/>
      <c r="BN194" s="275"/>
      <c r="BO194" s="12"/>
    </row>
    <row r="195" spans="1:67" ht="15.75" thickBot="1" x14ac:dyDescent="0.3">
      <c r="A195" s="296"/>
      <c r="B195" s="12"/>
      <c r="C195" s="115"/>
      <c r="D195" s="188"/>
      <c r="E195" s="221">
        <f>BL187</f>
        <v>1</v>
      </c>
      <c r="F195" s="190">
        <f>IF($D$4=2025,1,0)</f>
        <v>0</v>
      </c>
      <c r="G195" s="178">
        <f>IF($B196="Yes",$C$5,$I197)</f>
        <v>12</v>
      </c>
      <c r="H195" s="191">
        <f>VLOOKUP(H196,'Lookup Tables'!$A$22:$B$33,2,FALSE)</f>
        <v>3</v>
      </c>
      <c r="I195" s="192">
        <f>VLOOKUP($E$4,'Lookup Tables'!$AB$46:$AN$58,MATCH($H195,'Lookup Tables'!$AB$46:$AN$46),FALSE)</f>
        <v>12</v>
      </c>
      <c r="J195" s="190">
        <f>12-I195</f>
        <v>0</v>
      </c>
      <c r="K195" s="190">
        <f>IF(G195&lt;J195,G195,J195)</f>
        <v>0</v>
      </c>
      <c r="L195" s="195">
        <f>IF(12-I195&gt;=1,1,0)</f>
        <v>0</v>
      </c>
      <c r="M195" s="202">
        <f>((('Rate Tables'!$E49*$E195)*PersonCalcYr3!$K195)*L195)*$F195</f>
        <v>0</v>
      </c>
      <c r="N195" s="197">
        <f>G195-(J195*L195)</f>
        <v>12</v>
      </c>
      <c r="O195" s="178"/>
      <c r="P195" s="197">
        <f>IF(N195&lt;0,N195*0,1)*N195</f>
        <v>12</v>
      </c>
      <c r="Q195" s="198">
        <f>VLOOKUP($H196,'Lookup Tables'!$A$22:$B$33,2,FALSE)+(K195*L195)</f>
        <v>3</v>
      </c>
      <c r="R195" s="199" t="str">
        <f>VLOOKUP(Q195,'Lookup Tables'!$A$38:$B$151,2,FALSE)</f>
        <v>Sept</v>
      </c>
      <c r="S195" s="191">
        <f>VLOOKUP(R195,'Lookup Tables'!$A$22:$B$33,2,FALSE)</f>
        <v>3</v>
      </c>
      <c r="T195" s="672">
        <f>VLOOKUP($E$4,'Lookup Tables'!$AQ$46:$BC$58,MATCH(PersonCalcYr3!$S195,'Lookup Tables'!$AQ$46:$BC$46),FALSE)</f>
        <v>10</v>
      </c>
      <c r="U195" s="190">
        <f>IF(P195&lt;T195,P195,T195)</f>
        <v>10</v>
      </c>
      <c r="V195" s="195">
        <f>IF((U195)&lt;=0,0,1)</f>
        <v>1</v>
      </c>
      <c r="W195" s="202">
        <f>(('Rate Tables'!$F49*$E195)*PersonCalcYr3!$U195)*$V195*$F195</f>
        <v>0</v>
      </c>
      <c r="X195" s="197">
        <f>P195-(U195*V195)</f>
        <v>2</v>
      </c>
      <c r="Y195" s="178"/>
      <c r="Z195" s="178"/>
      <c r="AA195" s="178"/>
      <c r="AB195" s="197">
        <f>IF(X195&lt;0,X195*0,1)*X195</f>
        <v>2</v>
      </c>
      <c r="AC195" s="203">
        <f>S195+(U195*V195)</f>
        <v>13</v>
      </c>
      <c r="AD195" s="199" t="str">
        <f>VLOOKUP(AC195,'Lookup Tables'!$A$38:$B$151,2,FALSE)</f>
        <v>July</v>
      </c>
      <c r="AE195" s="191">
        <f>VLOOKUP(AD195,'Lookup Tables'!$A$22:$B$33,2,FALSE)</f>
        <v>1</v>
      </c>
      <c r="AF195" s="222">
        <f>VLOOKUP($AE195,'Lookup Tables'!$AC$3:$AW$16,MATCH(PersonCalcYr3!$AB195,'Lookup Tables'!$AC$3:$AW$3),FALSE)</f>
        <v>2</v>
      </c>
      <c r="AG195" s="190">
        <f>IF(AB195&lt;AF195,AB195,AF195)</f>
        <v>2</v>
      </c>
      <c r="AH195" s="195">
        <f>IF((AG195)&lt;=0,0,1)</f>
        <v>1</v>
      </c>
      <c r="AI195" s="202">
        <f>(('Rate Tables'!$G49*$E195)*PersonCalcYr3!AG195)*AH195*$F195</f>
        <v>0</v>
      </c>
      <c r="AJ195" s="197">
        <f>AB195-(AG195*AH195)</f>
        <v>0</v>
      </c>
      <c r="AK195" s="178"/>
      <c r="AL195" s="178"/>
      <c r="AM195" s="197">
        <f>IF(AJ195&lt;0,AJ195*0,1)*AJ195</f>
        <v>0</v>
      </c>
      <c r="AN195" s="203">
        <f>AE195+(AG195*AH195)</f>
        <v>3</v>
      </c>
      <c r="AO195" s="199" t="str">
        <f>VLOOKUP(AN195,'Lookup Tables'!$A$38:$B$151,2,FALSE)</f>
        <v>Sept</v>
      </c>
      <c r="AP195" s="191">
        <f>VLOOKUP(AO195,'Lookup Tables'!$A$22:$B$33,2,FALSE)</f>
        <v>3</v>
      </c>
      <c r="AQ195" s="222">
        <f>VLOOKUP($AP195,'Lookup Tables'!$AC$3:$AW$16,MATCH(PersonCalcYr3!$AM195,'Lookup Tables'!$AC$3:$AW$3),FALSE)</f>
        <v>0</v>
      </c>
      <c r="AR195" s="190">
        <f>IF(AM195&lt;AQ195,AM195,AQ195)</f>
        <v>0</v>
      </c>
      <c r="AS195" s="195">
        <f>IF((AR195)&lt;=0,0,1)</f>
        <v>0</v>
      </c>
      <c r="AT195" s="202">
        <f>(('Rate Tables'!$H49*$E195)*PersonCalcYr3!AR195)*AS195*$F195</f>
        <v>0</v>
      </c>
      <c r="AU195" s="197">
        <f>AM195-(AR195*AS195)</f>
        <v>0</v>
      </c>
      <c r="AV195" s="202"/>
      <c r="AW195" s="202"/>
      <c r="AX195" s="197">
        <f>IF(AU195&lt;0,AU195*0,1)*AU195</f>
        <v>0</v>
      </c>
      <c r="AY195" s="203">
        <f>AP195+(AR195*AS195)</f>
        <v>3</v>
      </c>
      <c r="AZ195" s="199" t="str">
        <f>VLOOKUP(AY195,'Lookup Tables'!$A$38:$B$151,2,FALSE)</f>
        <v>Sept</v>
      </c>
      <c r="BA195" s="191">
        <f>VLOOKUP(AZ195,'Lookup Tables'!$A$22:$B$33,2,FALSE)</f>
        <v>3</v>
      </c>
      <c r="BB195" s="222">
        <f>VLOOKUP($BA195,'Lookup Tables'!$AC$3:$AW$16,MATCH(PersonCalcYr3!$AX195,'Lookup Tables'!$AC$3:$AW$3),FALSE)</f>
        <v>0</v>
      </c>
      <c r="BC195" s="190">
        <f>IF(AX195&lt;BB195,AX195,BB195)</f>
        <v>0</v>
      </c>
      <c r="BD195" s="195">
        <f>IF((BC195)&lt;=0,0,1)</f>
        <v>0</v>
      </c>
      <c r="BE195" s="202">
        <f>(('Rate Tables'!$I49*$E195)*PersonCalcYr3!BC195)*BD195*$F195</f>
        <v>0</v>
      </c>
      <c r="BF195" s="197">
        <f>AX195-(BC195*BD195)</f>
        <v>0</v>
      </c>
      <c r="BG195" s="202"/>
      <c r="BH195" s="202"/>
      <c r="BI195" s="202"/>
      <c r="BJ195" s="178"/>
      <c r="BK195" s="311"/>
      <c r="BL195" s="12"/>
      <c r="BM195" s="227"/>
      <c r="BN195" s="275"/>
      <c r="BO195" s="12"/>
    </row>
    <row r="196" spans="1:67" ht="15.75" thickBot="1" x14ac:dyDescent="0.3">
      <c r="A196" s="377" t="s">
        <v>431</v>
      </c>
      <c r="B196" s="375" t="str">
        <f>Personnel!U59</f>
        <v>YES</v>
      </c>
      <c r="C196" s="12"/>
      <c r="D196" s="178"/>
      <c r="E196" s="178"/>
      <c r="F196" s="178"/>
      <c r="G196" s="178" t="s">
        <v>430</v>
      </c>
      <c r="H196" s="178" t="str">
        <f>IF(B196="yes",$C$4,A198)</f>
        <v>Sept</v>
      </c>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53"/>
      <c r="AK196" s="178"/>
      <c r="AL196" s="178"/>
      <c r="AM196" s="178"/>
      <c r="AN196" s="178"/>
      <c r="AO196" s="178"/>
      <c r="AP196" s="178"/>
      <c r="AQ196" s="178"/>
      <c r="AR196" s="178"/>
      <c r="AS196" s="178"/>
      <c r="AT196" s="178"/>
      <c r="AU196" s="178"/>
      <c r="AV196" s="178"/>
      <c r="AW196" s="178"/>
      <c r="AX196" s="178"/>
      <c r="AY196" s="178"/>
      <c r="AZ196" s="178"/>
      <c r="BA196" s="178"/>
      <c r="BB196" s="178"/>
      <c r="BC196" s="178"/>
      <c r="BD196" s="178"/>
      <c r="BE196" s="178"/>
      <c r="BF196" s="178"/>
      <c r="BG196" s="178"/>
      <c r="BH196" s="178"/>
      <c r="BI196" s="178"/>
      <c r="BJ196" s="178"/>
      <c r="BK196" s="227"/>
      <c r="BL196" s="12"/>
      <c r="BM196" s="278" t="s">
        <v>415</v>
      </c>
      <c r="BN196" s="279">
        <f>BN187*BN191</f>
        <v>0</v>
      </c>
      <c r="BO196" s="398">
        <f>BN187+BN196+BO191</f>
        <v>0</v>
      </c>
    </row>
    <row r="197" spans="1:67" x14ac:dyDescent="0.25">
      <c r="A197" s="296" t="s">
        <v>439</v>
      </c>
      <c r="B197" s="114" t="s">
        <v>427</v>
      </c>
      <c r="C197" s="12"/>
      <c r="D197" s="178"/>
      <c r="E197" s="178"/>
      <c r="F197" s="178"/>
      <c r="G197" s="818" t="s">
        <v>665</v>
      </c>
      <c r="H197" s="11">
        <f>IF(H198&lt;$C$5,H198,$C$5)</f>
        <v>12</v>
      </c>
      <c r="I197" s="178">
        <f>IF(B198&lt;=H198,B198,H198)</f>
        <v>0</v>
      </c>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97"/>
      <c r="AK197" s="178"/>
      <c r="AL197" s="178"/>
      <c r="AM197" s="178"/>
      <c r="AN197" s="178"/>
      <c r="AO197" s="178"/>
      <c r="AP197" s="178"/>
      <c r="AQ197" s="178"/>
      <c r="AR197" s="178"/>
      <c r="AS197" s="178"/>
      <c r="AT197" s="178"/>
      <c r="AU197" s="178"/>
      <c r="AV197" s="178"/>
      <c r="AW197" s="178"/>
      <c r="AX197" s="178"/>
      <c r="AY197" s="178"/>
      <c r="AZ197" s="178"/>
      <c r="BA197" s="178"/>
      <c r="BB197" s="178"/>
      <c r="BC197" s="178"/>
      <c r="BD197" s="178"/>
      <c r="BE197" s="178"/>
      <c r="BF197" s="178"/>
      <c r="BG197" s="178"/>
      <c r="BH197" s="178"/>
      <c r="BI197" s="178"/>
      <c r="BJ197" s="178"/>
      <c r="BK197" s="227"/>
      <c r="BL197" s="12"/>
      <c r="BM197" s="278"/>
      <c r="BN197" s="284"/>
      <c r="BO197" s="399"/>
    </row>
    <row r="198" spans="1:67" x14ac:dyDescent="0.25">
      <c r="A198" s="380">
        <f>Personnel!U60</f>
        <v>0</v>
      </c>
      <c r="B198" s="273">
        <f>Personnel!U61</f>
        <v>0</v>
      </c>
      <c r="C198" s="12"/>
      <c r="D198" s="178"/>
      <c r="E198" s="178"/>
      <c r="F198" s="178"/>
      <c r="G198" s="818" t="s">
        <v>555</v>
      </c>
      <c r="H198" s="175">
        <f>VLOOKUP($E$4,'Lookup Tables'!$L$46:$AA$58,MATCH($H$189,'Lookup Tables'!$L$46:$X$46),FALSE)</f>
        <v>12</v>
      </c>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c r="BF198" s="178"/>
      <c r="BG198" s="178"/>
      <c r="BH198" s="178"/>
      <c r="BI198" s="178"/>
      <c r="BJ198" s="178"/>
      <c r="BK198" s="227"/>
      <c r="BL198" s="12"/>
      <c r="BM198" s="278"/>
      <c r="BN198" s="284"/>
      <c r="BO198" s="369"/>
    </row>
    <row r="199" spans="1:67" ht="15.75" thickBot="1" x14ac:dyDescent="0.3">
      <c r="A199" s="297"/>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49"/>
      <c r="BH199" s="149"/>
      <c r="BI199" s="149"/>
      <c r="BJ199" s="149"/>
      <c r="BK199" s="280"/>
      <c r="BL199" s="149"/>
      <c r="BM199" s="149"/>
      <c r="BN199" s="281"/>
      <c r="BO199" s="149"/>
    </row>
    <row r="200" spans="1:67" x14ac:dyDescent="0.25">
      <c r="A200" s="299"/>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304"/>
      <c r="BL200" s="11"/>
      <c r="BM200" s="11"/>
      <c r="BN200" s="11"/>
      <c r="BO200" s="11"/>
    </row>
    <row r="201" spans="1:67" ht="18.75" x14ac:dyDescent="0.3">
      <c r="A201" s="264" t="s">
        <v>191</v>
      </c>
      <c r="B201" s="262"/>
      <c r="C201" s="262"/>
      <c r="D201" s="262"/>
      <c r="E201" s="262"/>
      <c r="F201" s="262"/>
      <c r="G201" s="262"/>
      <c r="H201" s="262"/>
      <c r="I201" s="262"/>
      <c r="J201" s="262"/>
      <c r="K201" s="262"/>
      <c r="L201" s="262"/>
      <c r="M201" s="262"/>
      <c r="N201" s="262"/>
      <c r="O201" s="262"/>
      <c r="P201" s="262"/>
      <c r="Q201" s="262"/>
      <c r="R201" s="262"/>
      <c r="S201" s="262"/>
      <c r="T201" s="262"/>
      <c r="U201" s="262"/>
      <c r="V201" s="262"/>
      <c r="W201" s="262"/>
      <c r="X201" s="262"/>
      <c r="Y201" s="262"/>
      <c r="Z201" s="262"/>
      <c r="AA201" s="262"/>
      <c r="AB201" s="262"/>
      <c r="AC201" s="262"/>
      <c r="AD201" s="262"/>
      <c r="AE201" s="262"/>
      <c r="AF201" s="262"/>
      <c r="AG201" s="262"/>
      <c r="AH201" s="262"/>
      <c r="AI201" s="262"/>
      <c r="AJ201" s="262"/>
      <c r="AK201" s="262"/>
      <c r="AL201" s="262"/>
      <c r="AM201" s="262"/>
      <c r="AN201" s="262"/>
      <c r="AO201" s="262"/>
      <c r="AP201" s="262"/>
      <c r="AQ201" s="262"/>
      <c r="AR201" s="262"/>
      <c r="AS201" s="262"/>
      <c r="AT201" s="262"/>
      <c r="AU201" s="262"/>
      <c r="AV201" s="262"/>
      <c r="AW201" s="262"/>
      <c r="AX201" s="262"/>
      <c r="AY201" s="262"/>
      <c r="AZ201" s="262"/>
      <c r="BA201" s="262"/>
      <c r="BB201" s="262"/>
      <c r="BC201" s="262"/>
      <c r="BD201" s="262"/>
      <c r="BE201" s="262"/>
      <c r="BF201" s="262"/>
      <c r="BG201" s="262"/>
      <c r="BH201" s="262"/>
      <c r="BI201" s="262"/>
      <c r="BJ201" s="262"/>
      <c r="BK201" s="310"/>
      <c r="BL201" s="262"/>
      <c r="BM201" s="262"/>
      <c r="BN201" s="262"/>
      <c r="BO201" s="262"/>
    </row>
    <row r="202" spans="1:67" x14ac:dyDescent="0.25">
      <c r="A202" s="263" t="s">
        <v>170</v>
      </c>
      <c r="B202" s="355" t="str">
        <f>Personnel!C66</f>
        <v>12 Month</v>
      </c>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227"/>
      <c r="BL202" s="12"/>
      <c r="BM202" s="12"/>
      <c r="BN202" s="275"/>
      <c r="BO202" s="12"/>
    </row>
    <row r="203" spans="1:67" ht="26.25" x14ac:dyDescent="0.25">
      <c r="A203" s="258" t="s">
        <v>174</v>
      </c>
      <c r="B203" s="155" t="s">
        <v>12</v>
      </c>
      <c r="C203" s="259" t="s">
        <v>605</v>
      </c>
      <c r="D203" s="12"/>
      <c r="E203" s="12"/>
      <c r="F203" s="12"/>
      <c r="G203" s="729" t="s">
        <v>182</v>
      </c>
      <c r="H203" s="12"/>
      <c r="I203" s="12"/>
      <c r="J203" s="12"/>
      <c r="K203" s="12"/>
      <c r="L203" s="12"/>
      <c r="M203" s="12" t="s">
        <v>167</v>
      </c>
      <c r="N203" s="12"/>
      <c r="O203" s="12">
        <v>21</v>
      </c>
      <c r="P203" s="12"/>
      <c r="Q203" s="12"/>
      <c r="R203" s="12"/>
      <c r="S203" s="12"/>
      <c r="T203" s="12"/>
      <c r="U203" s="12"/>
      <c r="V203" s="12"/>
      <c r="W203" s="12"/>
      <c r="X203" s="12"/>
      <c r="Y203" s="12" t="s">
        <v>168</v>
      </c>
      <c r="Z203" s="12"/>
      <c r="AA203" s="12">
        <v>22</v>
      </c>
      <c r="AB203" s="12"/>
      <c r="AC203" s="12"/>
      <c r="AD203" s="12"/>
      <c r="AE203" s="12"/>
      <c r="AF203" s="12"/>
      <c r="AG203" s="12"/>
      <c r="AH203" s="12"/>
      <c r="AI203" s="12"/>
      <c r="AJ203" s="12" t="s">
        <v>169</v>
      </c>
      <c r="AK203" s="12"/>
      <c r="AL203" s="12">
        <v>23</v>
      </c>
      <c r="AM203" s="12"/>
      <c r="AN203" s="12"/>
      <c r="AO203" s="12"/>
      <c r="AP203" s="12"/>
      <c r="AQ203" s="12"/>
      <c r="AR203" s="12"/>
      <c r="AS203" s="12"/>
      <c r="AT203" s="12"/>
      <c r="AU203" s="12" t="s">
        <v>169</v>
      </c>
      <c r="AV203" s="12"/>
      <c r="AW203" s="12">
        <v>23</v>
      </c>
      <c r="AX203" s="12"/>
      <c r="AY203" s="12"/>
      <c r="AZ203" s="12"/>
      <c r="BA203" s="12"/>
      <c r="BB203" s="12"/>
      <c r="BC203" s="12"/>
      <c r="BD203" s="12"/>
      <c r="BE203" s="12"/>
      <c r="BF203" s="12"/>
      <c r="BG203" s="12"/>
      <c r="BH203" s="12"/>
      <c r="BI203" s="12"/>
      <c r="BJ203" s="12"/>
      <c r="BK203" s="227"/>
      <c r="BL203" s="12"/>
      <c r="BM203" s="12"/>
      <c r="BN203" s="275"/>
      <c r="BO203" s="12"/>
    </row>
    <row r="204" spans="1:67" x14ac:dyDescent="0.25">
      <c r="A204" s="356">
        <f>Personnel!C67</f>
        <v>0</v>
      </c>
      <c r="B204" s="357">
        <f>Personnel!C68</f>
        <v>0</v>
      </c>
      <c r="C204" s="115">
        <f>(B204*9)*2</f>
        <v>0</v>
      </c>
      <c r="D204" s="12"/>
      <c r="E204" s="12"/>
      <c r="F204" s="12"/>
      <c r="G204" s="12"/>
      <c r="H204" s="12"/>
      <c r="I204" s="12"/>
      <c r="J204" s="12"/>
      <c r="K204" s="12"/>
      <c r="L204" s="12"/>
      <c r="M204" s="12"/>
      <c r="N204" s="12"/>
      <c r="O204" s="12">
        <v>22</v>
      </c>
      <c r="P204" s="12"/>
      <c r="Q204" s="12"/>
      <c r="R204" s="12"/>
      <c r="S204" s="12"/>
      <c r="T204" s="12"/>
      <c r="U204" s="12"/>
      <c r="V204" s="12"/>
      <c r="W204" s="12"/>
      <c r="X204" s="12"/>
      <c r="Y204" s="12"/>
      <c r="Z204" s="12"/>
      <c r="AA204" s="12">
        <v>23</v>
      </c>
      <c r="AB204" s="12"/>
      <c r="AC204" s="12"/>
      <c r="AD204" s="12"/>
      <c r="AE204" s="12"/>
      <c r="AF204" s="12"/>
      <c r="AG204" s="12"/>
      <c r="AH204" s="12"/>
      <c r="AI204" s="12"/>
      <c r="AJ204" s="12"/>
      <c r="AK204" s="12"/>
      <c r="AL204" s="12">
        <v>24</v>
      </c>
      <c r="AM204" s="12"/>
      <c r="AN204" s="12"/>
      <c r="AO204" s="12"/>
      <c r="AP204" s="12"/>
      <c r="AQ204" s="12"/>
      <c r="AR204" s="12"/>
      <c r="AS204" s="12"/>
      <c r="AT204" s="12"/>
      <c r="AU204" s="12"/>
      <c r="AV204" s="12"/>
      <c r="AW204" s="12">
        <v>24</v>
      </c>
      <c r="AX204" s="12"/>
      <c r="AY204" s="12"/>
      <c r="AZ204" s="12"/>
      <c r="BA204" s="12"/>
      <c r="BB204" s="12"/>
      <c r="BC204" s="12"/>
      <c r="BD204" s="12"/>
      <c r="BE204" s="12"/>
      <c r="BF204" s="12"/>
      <c r="BG204" s="12"/>
      <c r="BH204" s="12"/>
      <c r="BI204" s="12"/>
      <c r="BJ204" s="12"/>
      <c r="BK204" s="306" t="s">
        <v>412</v>
      </c>
      <c r="BL204" s="348">
        <f>Personnel!W67</f>
        <v>0</v>
      </c>
      <c r="BM204" s="276" t="s">
        <v>414</v>
      </c>
      <c r="BN204" s="285">
        <f>(N206+Z206+AK206+AV206+BG206+N208+Z208+AK208+AV208+BG208+N210+Z210+AK210+AV210+BG210+N212+Z212+AK212+AV212+BG212)*BI206</f>
        <v>0</v>
      </c>
      <c r="BO204" s="15"/>
    </row>
    <row r="205" spans="1:67" x14ac:dyDescent="0.25">
      <c r="A205" s="145"/>
      <c r="B205" s="12"/>
      <c r="C205" s="117" t="s">
        <v>30</v>
      </c>
      <c r="D205" s="12"/>
      <c r="E205" s="13" t="s">
        <v>16</v>
      </c>
      <c r="F205" s="13" t="s">
        <v>42</v>
      </c>
      <c r="G205" s="13" t="s">
        <v>41</v>
      </c>
      <c r="H205" s="65" t="s">
        <v>77</v>
      </c>
      <c r="I205" s="64" t="s">
        <v>90</v>
      </c>
      <c r="J205" s="63" t="s">
        <v>70</v>
      </c>
      <c r="K205" s="52" t="s">
        <v>93</v>
      </c>
      <c r="L205" s="13" t="s">
        <v>35</v>
      </c>
      <c r="M205" s="13" t="s">
        <v>82</v>
      </c>
      <c r="N205" s="13" t="s">
        <v>31</v>
      </c>
      <c r="O205" s="14" t="s">
        <v>69</v>
      </c>
      <c r="P205" s="13" t="s">
        <v>72</v>
      </c>
      <c r="Q205" s="65" t="s">
        <v>80</v>
      </c>
      <c r="R205" s="62" t="s">
        <v>81</v>
      </c>
      <c r="S205" s="65" t="s">
        <v>77</v>
      </c>
      <c r="T205" s="600" t="s">
        <v>83</v>
      </c>
      <c r="U205" s="63" t="s">
        <v>70</v>
      </c>
      <c r="V205" s="13" t="s">
        <v>91</v>
      </c>
      <c r="W205" s="13" t="s">
        <v>43</v>
      </c>
      <c r="X205" s="13" t="s">
        <v>53</v>
      </c>
      <c r="Y205" s="13" t="s">
        <v>68</v>
      </c>
      <c r="Z205" s="13" t="s">
        <v>32</v>
      </c>
      <c r="AA205" s="14" t="s">
        <v>69</v>
      </c>
      <c r="AB205" s="13" t="s">
        <v>72</v>
      </c>
      <c r="AC205" s="13" t="s">
        <v>80</v>
      </c>
      <c r="AD205" s="62" t="s">
        <v>81</v>
      </c>
      <c r="AE205" s="65" t="s">
        <v>77</v>
      </c>
      <c r="AF205" s="63" t="s">
        <v>70</v>
      </c>
      <c r="AG205" s="13" t="s">
        <v>92</v>
      </c>
      <c r="AH205" s="13" t="s">
        <v>44</v>
      </c>
      <c r="AI205" s="13" t="s">
        <v>78</v>
      </c>
      <c r="AJ205" s="13" t="s">
        <v>68</v>
      </c>
      <c r="AK205" s="13" t="s">
        <v>33</v>
      </c>
      <c r="AL205" s="14" t="s">
        <v>69</v>
      </c>
      <c r="AM205" s="13" t="s">
        <v>72</v>
      </c>
      <c r="AN205" s="13" t="s">
        <v>80</v>
      </c>
      <c r="AO205" s="62" t="s">
        <v>81</v>
      </c>
      <c r="AP205" s="65" t="s">
        <v>77</v>
      </c>
      <c r="AQ205" s="63" t="s">
        <v>70</v>
      </c>
      <c r="AR205" s="13" t="s">
        <v>94</v>
      </c>
      <c r="AS205" s="13" t="s">
        <v>45</v>
      </c>
      <c r="AT205" s="13" t="s">
        <v>79</v>
      </c>
      <c r="AU205" s="13" t="s">
        <v>68</v>
      </c>
      <c r="AV205" s="13" t="s">
        <v>33</v>
      </c>
      <c r="AW205" s="14" t="s">
        <v>69</v>
      </c>
      <c r="AX205" s="13" t="s">
        <v>72</v>
      </c>
      <c r="AY205" s="13" t="s">
        <v>80</v>
      </c>
      <c r="AZ205" s="62" t="s">
        <v>81</v>
      </c>
      <c r="BA205" s="65" t="s">
        <v>77</v>
      </c>
      <c r="BB205" s="63" t="s">
        <v>70</v>
      </c>
      <c r="BC205" s="13" t="s">
        <v>94</v>
      </c>
      <c r="BD205" s="13" t="s">
        <v>45</v>
      </c>
      <c r="BE205" s="13" t="s">
        <v>79</v>
      </c>
      <c r="BF205" s="13" t="s">
        <v>68</v>
      </c>
      <c r="BG205" s="13" t="s">
        <v>33</v>
      </c>
      <c r="BH205" s="14" t="s">
        <v>69</v>
      </c>
      <c r="BI205" s="13" t="s">
        <v>159</v>
      </c>
      <c r="BJ205" s="12"/>
      <c r="BK205" s="227"/>
      <c r="BL205" s="349"/>
      <c r="BM205" s="227"/>
      <c r="BN205" s="285"/>
      <c r="BO205" s="15"/>
    </row>
    <row r="206" spans="1:67" x14ac:dyDescent="0.25">
      <c r="A206" s="145"/>
      <c r="B206" s="12"/>
      <c r="C206" s="115"/>
      <c r="D206" s="12"/>
      <c r="E206" s="118">
        <f>BL204</f>
        <v>0</v>
      </c>
      <c r="F206" s="19">
        <f>IF($D$4=2022,1,0)</f>
        <v>0</v>
      </c>
      <c r="G206" s="178">
        <f>IF($B250="Yes",$C$5,$I249)</f>
        <v>12</v>
      </c>
      <c r="H206" s="36">
        <f>VLOOKUP(H248,'Lookup Tables'!$A$22:$B$33,2,FALSE)</f>
        <v>3</v>
      </c>
      <c r="I206" s="192">
        <f>VLOOKUP($E$4,'Lookup Tables'!$AB$46:$AN$58,MATCH($H206,'Lookup Tables'!$AB$46:$AN$46),FALSE)</f>
        <v>12</v>
      </c>
      <c r="J206" s="586">
        <f>VLOOKUP(H206,'Lookup Tables'!$A$3:$AA$16,MATCH(PersonCalcYr3!$G206,'Lookup Tables'!$A$3:$AA$3),FALSE)</f>
        <v>1.5161</v>
      </c>
      <c r="K206" s="54">
        <f>VLOOKUP($H248,'Lookup Tables'!$K$23:$L$34,2,FALSE)</f>
        <v>0</v>
      </c>
      <c r="L206" s="129">
        <f>IF(G206&lt;=K206,G206,K206)</f>
        <v>0</v>
      </c>
      <c r="M206" s="195">
        <f>IF(12-I206&gt;=1,1,0)</f>
        <v>0</v>
      </c>
      <c r="N206" s="15">
        <f>(('Rate Tables'!B73*PersonCalcYr3!E206)*PersonCalcYr3!L206)*PersonCalcYr3!F206*M206</f>
        <v>0</v>
      </c>
      <c r="O206" s="28">
        <f>G206-((J206+L206)*M206)</f>
        <v>12</v>
      </c>
      <c r="P206" s="8">
        <f>IF(O206&lt;0,O206*0,1)*O206</f>
        <v>12</v>
      </c>
      <c r="Q206" s="403">
        <f>VLOOKUP($H248,'Lookup Tables'!$A$22:$B$33,2,FALSE)+(L206*M206)+(J206*M206)</f>
        <v>3</v>
      </c>
      <c r="R206" s="121" t="str">
        <f>VLOOKUP(Q206,'Lookup Tables'!$A$38:$B$151,2,FALSE)</f>
        <v>Sept</v>
      </c>
      <c r="S206" s="36">
        <f>VLOOKUP(R206,'Lookup Tables'!$A$22:$B$33,2,FALSE)</f>
        <v>3</v>
      </c>
      <c r="T206" s="599">
        <f>VLOOKUP($E$4,'Lookup Tables'!$AB$63:$AN$75,MATCH(PersonCalcYr3!$S206,'Lookup Tables'!$AB$63:$AN$63),FALSE)</f>
        <v>0.5161</v>
      </c>
      <c r="U206" s="34">
        <f>VLOOKUP(S206,'Lookup Tables'!$A$3:$AA$16,MATCH(PersonCalcYr3!$P206,'Lookup Tables'!$A$3:$AA$3),FALSE)</f>
        <v>1.5161</v>
      </c>
      <c r="V206" s="12">
        <f>9-T206</f>
        <v>8.4839000000000002</v>
      </c>
      <c r="W206" s="587">
        <f>P206-U206</f>
        <v>10.4839</v>
      </c>
      <c r="X206" s="588">
        <f>IF(V206&lt;=W206,V206,W206)</f>
        <v>8.4839000000000002</v>
      </c>
      <c r="Y206" s="195">
        <f>IF(12-T206-U206-X206&gt;=0,1,0)</f>
        <v>1</v>
      </c>
      <c r="Z206" s="20">
        <f>((('Rate Tables'!C73*$E206)*PersonCalcYr3!$X206)*$F206)*Y206</f>
        <v>0</v>
      </c>
      <c r="AA206" s="197">
        <f>O206-(((U206*U214)+X206)*Y206)</f>
        <v>2</v>
      </c>
      <c r="AB206" s="8">
        <f>IF(AA206&lt;0,AA206*0,1)*AA206</f>
        <v>2</v>
      </c>
      <c r="AC206" s="601">
        <f>S206+(X206*Y206)+((U206*U214)*Y206)</f>
        <v>13</v>
      </c>
      <c r="AD206" s="121" t="str">
        <f>VLOOKUP(AC206,'Lookup Tables'!$A$38:$B$151,2,FALSE)</f>
        <v>July</v>
      </c>
      <c r="AE206" s="36">
        <f>VLOOKUP(AD206,'Lookup Tables'!$A$22:$B$33,2,FALSE)</f>
        <v>1</v>
      </c>
      <c r="AF206" s="34">
        <f>VLOOKUP(AE206,'Lookup Tables'!$A$3:$AA$16,MATCH(PersonCalcYr3!AB206,'Lookup Tables'!$A$3:$AA$3),FALSE)</f>
        <v>1.4839</v>
      </c>
      <c r="AG206" s="12">
        <v>9</v>
      </c>
      <c r="AH206" s="122">
        <f>AB206-AF206</f>
        <v>0.5161</v>
      </c>
      <c r="AI206" s="119">
        <f>IF(AG206&lt;=AH206,AG206,AH206)</f>
        <v>0.5161</v>
      </c>
      <c r="AJ206" s="119">
        <f>IF((AG206+AF206)&lt;=0,0,1)</f>
        <v>1</v>
      </c>
      <c r="AK206" s="124">
        <f>((('Rate Tables'!D73*$E206)*PersonCalcYr3!AI206)*$F206)*AJ206</f>
        <v>0</v>
      </c>
      <c r="AL206" s="28">
        <f>AB206-AF206-AI206</f>
        <v>0</v>
      </c>
      <c r="AM206" s="8">
        <f>IF(AL206&lt;0,AL206*0,1)*AL206</f>
        <v>0</v>
      </c>
      <c r="AN206" s="601">
        <f>AE206+(AI206*AJ206)+((AF206*AF214)*AJ206)</f>
        <v>3</v>
      </c>
      <c r="AO206" s="121" t="str">
        <f>VLOOKUP(AN206,'Lookup Tables'!$A$38:$B$151,2,FALSE)</f>
        <v>Sept</v>
      </c>
      <c r="AP206" s="36">
        <f>VLOOKUP(AO206,'Lookup Tables'!$A$22:$B$33,2,FALSE)</f>
        <v>3</v>
      </c>
      <c r="AQ206" s="34">
        <f>VLOOKUP(AP206,'Lookup Tables'!$A$3:$AA$16,MATCH(PersonCalcYr3!AM206,'Lookup Tables'!$A$3:$AA$3),FALSE)</f>
        <v>0</v>
      </c>
      <c r="AR206" s="12">
        <v>9</v>
      </c>
      <c r="AS206" s="122">
        <f>AM206-AQ206</f>
        <v>0</v>
      </c>
      <c r="AT206" s="119">
        <f>IF(AR206&lt;=AS206,AR206,AS206)</f>
        <v>0</v>
      </c>
      <c r="AU206" s="119">
        <f>IF((AR206+AQ206)&lt;=0,0,1)</f>
        <v>1</v>
      </c>
      <c r="AV206" s="124">
        <f>((('Rate Tables'!E73*$E206)*PersonCalcYr3!AT206)*$F206)*AU206</f>
        <v>0</v>
      </c>
      <c r="AW206" s="28">
        <f>AM206-AQ206-AT206</f>
        <v>0</v>
      </c>
      <c r="AX206" s="8">
        <f>IF(AW206&lt;0,AW206*0,1)*AW206</f>
        <v>0</v>
      </c>
      <c r="AY206" s="601">
        <f>AP206+(AT206*AU206)+((AQ206*AQ214)*AU206)</f>
        <v>3</v>
      </c>
      <c r="AZ206" s="121" t="str">
        <f>VLOOKUP(AY206,'Lookup Tables'!$A$38:$B$151,2,FALSE)</f>
        <v>Sept</v>
      </c>
      <c r="BA206" s="36">
        <f>VLOOKUP(AZ206,'Lookup Tables'!$A$22:$B$33,2,FALSE)</f>
        <v>3</v>
      </c>
      <c r="BB206" s="34">
        <f>VLOOKUP(BA206,'Lookup Tables'!$A$3:$AA$16,MATCH(PersonCalcYr3!AX206,'Lookup Tables'!$A$3:$AA$3),FALSE)</f>
        <v>0</v>
      </c>
      <c r="BC206" s="12">
        <v>9</v>
      </c>
      <c r="BD206" s="122">
        <f>AX206-BB206</f>
        <v>0</v>
      </c>
      <c r="BE206" s="119">
        <f>IF(BC206&lt;=BD206,BC206,BD206)</f>
        <v>0</v>
      </c>
      <c r="BF206" s="119">
        <f>IF((BC206+BB206)&lt;=0,0,1)</f>
        <v>1</v>
      </c>
      <c r="BG206" s="124">
        <f>((('Rate Tables'!F73*$E206)*PersonCalcYr3!BE206)*$F206)*BF206</f>
        <v>0</v>
      </c>
      <c r="BH206" s="28">
        <f>AX206-BB206-BE206</f>
        <v>0</v>
      </c>
      <c r="BI206" s="19">
        <f>VLOOKUP(B202,'Lookup Tables'!$AK$22:$AM$24,2,0)</f>
        <v>0</v>
      </c>
      <c r="BJ206" s="12"/>
      <c r="BK206" s="227"/>
      <c r="BL206" s="350"/>
      <c r="BM206" s="276" t="s">
        <v>184</v>
      </c>
      <c r="BN206" s="285">
        <f>BN204*'Rate Tables'!P$8</f>
        <v>0</v>
      </c>
      <c r="BO206" s="15"/>
    </row>
    <row r="207" spans="1:67" x14ac:dyDescent="0.25">
      <c r="A207" s="145"/>
      <c r="B207" s="12"/>
      <c r="C207" s="117" t="s">
        <v>597</v>
      </c>
      <c r="D207" s="12"/>
      <c r="E207" s="13" t="s">
        <v>16</v>
      </c>
      <c r="F207" s="13" t="s">
        <v>42</v>
      </c>
      <c r="G207" s="13" t="s">
        <v>41</v>
      </c>
      <c r="H207" s="65" t="s">
        <v>77</v>
      </c>
      <c r="I207" s="64" t="s">
        <v>90</v>
      </c>
      <c r="J207" s="63" t="s">
        <v>70</v>
      </c>
      <c r="K207" s="52" t="s">
        <v>109</v>
      </c>
      <c r="L207" s="13" t="s">
        <v>53</v>
      </c>
      <c r="M207" s="13" t="s">
        <v>82</v>
      </c>
      <c r="N207" s="13" t="s">
        <v>32</v>
      </c>
      <c r="O207" s="14" t="s">
        <v>69</v>
      </c>
      <c r="P207" s="13" t="s">
        <v>72</v>
      </c>
      <c r="Q207" s="65" t="s">
        <v>80</v>
      </c>
      <c r="R207" s="62" t="s">
        <v>81</v>
      </c>
      <c r="S207" s="65" t="s">
        <v>77</v>
      </c>
      <c r="T207" s="600" t="s">
        <v>83</v>
      </c>
      <c r="U207" s="63" t="s">
        <v>70</v>
      </c>
      <c r="V207" s="13" t="s">
        <v>92</v>
      </c>
      <c r="W207" s="13" t="s">
        <v>44</v>
      </c>
      <c r="X207" s="13" t="s">
        <v>78</v>
      </c>
      <c r="Y207" s="13" t="s">
        <v>68</v>
      </c>
      <c r="Z207" s="13" t="s">
        <v>33</v>
      </c>
      <c r="AA207" s="14" t="s">
        <v>69</v>
      </c>
      <c r="AB207" s="13" t="s">
        <v>72</v>
      </c>
      <c r="AC207" s="13" t="s">
        <v>80</v>
      </c>
      <c r="AD207" s="62" t="s">
        <v>81</v>
      </c>
      <c r="AE207" s="65" t="s">
        <v>77</v>
      </c>
      <c r="AF207" s="63" t="s">
        <v>70</v>
      </c>
      <c r="AG207" s="13" t="s">
        <v>94</v>
      </c>
      <c r="AH207" s="13" t="s">
        <v>45</v>
      </c>
      <c r="AI207" s="13" t="s">
        <v>79</v>
      </c>
      <c r="AJ207" s="13" t="s">
        <v>68</v>
      </c>
      <c r="AK207" s="13" t="s">
        <v>34</v>
      </c>
      <c r="AL207" s="14" t="s">
        <v>69</v>
      </c>
      <c r="AM207" s="13" t="s">
        <v>72</v>
      </c>
      <c r="AN207" s="13" t="s">
        <v>80</v>
      </c>
      <c r="AO207" s="62" t="s">
        <v>81</v>
      </c>
      <c r="AP207" s="65" t="s">
        <v>77</v>
      </c>
      <c r="AQ207" s="63" t="s">
        <v>70</v>
      </c>
      <c r="AR207" s="13" t="s">
        <v>607</v>
      </c>
      <c r="AS207" s="13" t="s">
        <v>608</v>
      </c>
      <c r="AT207" s="13" t="s">
        <v>601</v>
      </c>
      <c r="AU207" s="13" t="s">
        <v>68</v>
      </c>
      <c r="AV207" s="13" t="s">
        <v>34</v>
      </c>
      <c r="AW207" s="14" t="s">
        <v>69</v>
      </c>
      <c r="AX207" s="13" t="s">
        <v>72</v>
      </c>
      <c r="AY207" s="13" t="s">
        <v>80</v>
      </c>
      <c r="AZ207" s="62" t="s">
        <v>81</v>
      </c>
      <c r="BA207" s="65" t="s">
        <v>77</v>
      </c>
      <c r="BB207" s="63" t="s">
        <v>70</v>
      </c>
      <c r="BC207" s="13" t="s">
        <v>607</v>
      </c>
      <c r="BD207" s="13" t="s">
        <v>608</v>
      </c>
      <c r="BE207" s="13" t="s">
        <v>601</v>
      </c>
      <c r="BF207" s="13" t="s">
        <v>68</v>
      </c>
      <c r="BG207" s="13" t="s">
        <v>34</v>
      </c>
      <c r="BH207" s="14" t="s">
        <v>69</v>
      </c>
      <c r="BI207" s="13"/>
      <c r="BJ207" s="12"/>
      <c r="BK207" s="227"/>
      <c r="BL207" s="351"/>
      <c r="BM207" s="227"/>
      <c r="BN207" s="285"/>
      <c r="BO207" s="15"/>
    </row>
    <row r="208" spans="1:67" x14ac:dyDescent="0.25">
      <c r="A208" s="145"/>
      <c r="B208" s="12"/>
      <c r="C208" s="115"/>
      <c r="D208" s="12"/>
      <c r="E208" s="118">
        <f>BL204</f>
        <v>0</v>
      </c>
      <c r="F208" s="19">
        <f>IF($D$4=2023,1,0)</f>
        <v>0</v>
      </c>
      <c r="G208" s="178">
        <f>IF($B250="Yes",$C$5,$I249)</f>
        <v>12</v>
      </c>
      <c r="H208" s="36">
        <f>VLOOKUP(H248,'Lookup Tables'!$A$22:$B$33,2,FALSE)</f>
        <v>3</v>
      </c>
      <c r="I208" s="192">
        <f>VLOOKUP($E$4,'Lookup Tables'!$AB$46:$AN$58,MATCH($H208,'Lookup Tables'!$AB$46:$AN$46),FALSE)</f>
        <v>12</v>
      </c>
      <c r="J208" s="586">
        <f>VLOOKUP(H208,'Lookup Tables'!$A$3:$AA$16,MATCH(PersonCalcYr3!$G208,'Lookup Tables'!$A$3:$AA$3),FALSE)</f>
        <v>1.5161</v>
      </c>
      <c r="K208" s="54">
        <f>VLOOKUP($H248,'Lookup Tables'!$K$23:$L$34,2,FALSE)</f>
        <v>0</v>
      </c>
      <c r="L208" s="12">
        <f>IF(G208&lt;=K208,G208,K208)</f>
        <v>0</v>
      </c>
      <c r="M208" s="195">
        <f>IF(12-I208&gt;=1,1,0)</f>
        <v>0</v>
      </c>
      <c r="N208" s="15">
        <f>(('Rate Tables'!C73*PersonCalcYr3!E208)*PersonCalcYr3!L208)*PersonCalcYr3!F208*M208</f>
        <v>0</v>
      </c>
      <c r="O208" s="28">
        <f>G208-((J208+L208)*M208)</f>
        <v>12</v>
      </c>
      <c r="P208" s="8">
        <f>IF(O208&lt;0,O208*0,1)*O208</f>
        <v>12</v>
      </c>
      <c r="Q208" s="120">
        <f>VLOOKUP($H248,'Lookup Tables'!$A$22:$B$33,2,FALSE)+(L208*M208)+(J208*M208)</f>
        <v>3</v>
      </c>
      <c r="R208" s="121" t="str">
        <f>VLOOKUP(Q208,'Lookup Tables'!$A$38:$B$151,2,FALSE)</f>
        <v>Sept</v>
      </c>
      <c r="S208" s="36">
        <f>VLOOKUP(R208,'Lookup Tables'!$A$22:$B$33,2,FALSE)</f>
        <v>3</v>
      </c>
      <c r="T208" s="599">
        <f>VLOOKUP($E$4,'Lookup Tables'!$AB$63:$AN$75,MATCH(PersonCalcYr3!$S208,'Lookup Tables'!$AB$63:$AN$63),FALSE)</f>
        <v>0.5161</v>
      </c>
      <c r="U208" s="34">
        <f>VLOOKUP(S208,'Lookup Tables'!$A$3:$AA$16,MATCH(PersonCalcYr3!$P208,'Lookup Tables'!$A$3:$AA$3),FALSE)</f>
        <v>1.5161</v>
      </c>
      <c r="V208" s="12">
        <f>9-T208</f>
        <v>8.4839000000000002</v>
      </c>
      <c r="W208" s="122">
        <f>P208-U208</f>
        <v>10.4839</v>
      </c>
      <c r="X208" s="119">
        <f>IF(V208&lt;=W208,V208,W208)</f>
        <v>8.4839000000000002</v>
      </c>
      <c r="Y208" s="195">
        <f>IF(12-T208-U208-X208&gt;=0,1,0)</f>
        <v>1</v>
      </c>
      <c r="Z208" s="20">
        <f>((('Rate Tables'!D73*$E208)*PersonCalcYr3!$X208)*$F208)*Y208</f>
        <v>0</v>
      </c>
      <c r="AA208" s="197">
        <f>O208-(((U208*U214)+X208)*Y208)</f>
        <v>2</v>
      </c>
      <c r="AB208" s="8">
        <f>IF(AA208&lt;0,AA208*0,1)*AA208</f>
        <v>2</v>
      </c>
      <c r="AC208" s="601">
        <f>S208+(X208*Y208)+((U208*U214)*Y208)</f>
        <v>13</v>
      </c>
      <c r="AD208" s="121" t="str">
        <f>VLOOKUP(AC208,'Lookup Tables'!$A$38:$B$151,2,FALSE)</f>
        <v>July</v>
      </c>
      <c r="AE208" s="36">
        <f>VLOOKUP(AD208,'Lookup Tables'!$A$22:$B$33,2,FALSE)</f>
        <v>1</v>
      </c>
      <c r="AF208" s="34">
        <f>VLOOKUP(AE208,'Lookup Tables'!$A$3:$AA$16,MATCH(PersonCalcYr3!AB208,'Lookup Tables'!$A$3:$AA$3),FALSE)</f>
        <v>1.4839</v>
      </c>
      <c r="AG208" s="12">
        <v>9</v>
      </c>
      <c r="AH208" s="122">
        <f>AB208-AF208</f>
        <v>0.5161</v>
      </c>
      <c r="AI208" s="119">
        <f>IF(AG208&lt;=AH208,AG208,AH208)</f>
        <v>0.5161</v>
      </c>
      <c r="AJ208" s="119">
        <f>IF((AG208+AF208)&lt;=0,0,1)</f>
        <v>1</v>
      </c>
      <c r="AK208" s="124">
        <f>((('Rate Tables'!E73*$E208)*PersonCalcYr3!AI208)*$F208)*AJ208</f>
        <v>0</v>
      </c>
      <c r="AL208" s="28">
        <f>AB208-AF208-AI208</f>
        <v>0</v>
      </c>
      <c r="AM208" s="8">
        <f>IF(AL208&lt;0,AL208*0,1)*AL208</f>
        <v>0</v>
      </c>
      <c r="AN208" s="601">
        <f>AE208+(AI208*AJ208)+((AF208*AF214)*AJ208)</f>
        <v>3</v>
      </c>
      <c r="AO208" s="121" t="str">
        <f>VLOOKUP(AN208,'Lookup Tables'!$A$38:$B$151,2,FALSE)</f>
        <v>Sept</v>
      </c>
      <c r="AP208" s="36">
        <f>VLOOKUP(AO208,'Lookup Tables'!$A$22:$B$33,2,FALSE)</f>
        <v>3</v>
      </c>
      <c r="AQ208" s="34">
        <f>VLOOKUP(AP208,'Lookup Tables'!$A$3:$AA$16,MATCH(PersonCalcYr3!AM208,'Lookup Tables'!$A$3:$AA$3),FALSE)</f>
        <v>0</v>
      </c>
      <c r="AR208" s="12">
        <v>9</v>
      </c>
      <c r="AS208" s="122">
        <f>AM208-AQ208</f>
        <v>0</v>
      </c>
      <c r="AT208" s="119">
        <f>IF(AR208&lt;=AS208,AR208,AS208)</f>
        <v>0</v>
      </c>
      <c r="AU208" s="119">
        <f>IF((AR208+AQ208)&lt;=0,0,1)</f>
        <v>1</v>
      </c>
      <c r="AV208" s="124">
        <f>((('Rate Tables'!F73*$E208)*PersonCalcYr3!AT208)*$F208)*AU208</f>
        <v>0</v>
      </c>
      <c r="AW208" s="28">
        <f>AM208-AQ208-AT208</f>
        <v>0</v>
      </c>
      <c r="AX208" s="8">
        <f>IF(AW208&lt;0,AW208*0,1)*AW208</f>
        <v>0</v>
      </c>
      <c r="AY208" s="601">
        <f>AP208+(AT208*AU208)+((AQ208*AQ214)*AU208)</f>
        <v>3</v>
      </c>
      <c r="AZ208" s="121" t="str">
        <f>VLOOKUP(AY208,'Lookup Tables'!$A$38:$B$151,2,FALSE)</f>
        <v>Sept</v>
      </c>
      <c r="BA208" s="36">
        <f>VLOOKUP(AZ208,'Lookup Tables'!$A$22:$B$33,2,FALSE)</f>
        <v>3</v>
      </c>
      <c r="BB208" s="34">
        <f>VLOOKUP(BA208,'Lookup Tables'!$A$3:$AA$16,MATCH(PersonCalcYr3!AX208,'Lookup Tables'!$A$3:$AA$3),FALSE)</f>
        <v>0</v>
      </c>
      <c r="BC208" s="12">
        <v>9</v>
      </c>
      <c r="BD208" s="122">
        <f>AX208-BB208</f>
        <v>0</v>
      </c>
      <c r="BE208" s="119">
        <f>IF(BC208&lt;=BD208,BC208,BD208)</f>
        <v>0</v>
      </c>
      <c r="BF208" s="119">
        <f>IF((BC208+BB208)&lt;=0,0,1)</f>
        <v>1</v>
      </c>
      <c r="BG208" s="124">
        <f>((('Rate Tables'!G73*$E208)*PersonCalcYr3!BE208)*$F208)*BF208</f>
        <v>0</v>
      </c>
      <c r="BH208" s="28">
        <f>AX208-BB208-BE208</f>
        <v>0</v>
      </c>
      <c r="BI208" s="19"/>
      <c r="BJ208" s="12"/>
      <c r="BK208" s="1199" t="s">
        <v>580</v>
      </c>
      <c r="BL208" s="349"/>
      <c r="BM208" s="276" t="s">
        <v>134</v>
      </c>
      <c r="BN208" s="285">
        <f>(((O214+O215+O216+O217+AA214+AA215+AA216+AA217+AL214+AL215+AL216+AL217+AW214+AW215+AW216+AW217+BH214+BH215+BH216+BH217)*BI214)*BN213)*BL215</f>
        <v>0</v>
      </c>
      <c r="BO208" s="15"/>
    </row>
    <row r="209" spans="1:67" x14ac:dyDescent="0.25">
      <c r="A209" s="145"/>
      <c r="B209" s="12"/>
      <c r="C209" s="117" t="s">
        <v>664</v>
      </c>
      <c r="D209" s="12"/>
      <c r="E209" s="13" t="s">
        <v>16</v>
      </c>
      <c r="F209" s="13" t="s">
        <v>42</v>
      </c>
      <c r="G209" s="13" t="s">
        <v>41</v>
      </c>
      <c r="H209" s="65" t="s">
        <v>77</v>
      </c>
      <c r="I209" s="64" t="s">
        <v>90</v>
      </c>
      <c r="J209" s="63" t="s">
        <v>70</v>
      </c>
      <c r="K209" s="52" t="s">
        <v>620</v>
      </c>
      <c r="L209" s="13" t="s">
        <v>78</v>
      </c>
      <c r="M209" s="13" t="s">
        <v>82</v>
      </c>
      <c r="N209" s="13" t="s">
        <v>33</v>
      </c>
      <c r="O209" s="14" t="s">
        <v>69</v>
      </c>
      <c r="P209" s="13" t="s">
        <v>72</v>
      </c>
      <c r="Q209" s="65" t="s">
        <v>80</v>
      </c>
      <c r="R209" s="62" t="s">
        <v>81</v>
      </c>
      <c r="S209" s="65" t="s">
        <v>77</v>
      </c>
      <c r="T209" s="600" t="s">
        <v>83</v>
      </c>
      <c r="U209" s="63" t="s">
        <v>70</v>
      </c>
      <c r="V209" s="13" t="s">
        <v>94</v>
      </c>
      <c r="W209" s="13" t="s">
        <v>45</v>
      </c>
      <c r="X209" s="13" t="s">
        <v>79</v>
      </c>
      <c r="Y209" s="13" t="s">
        <v>68</v>
      </c>
      <c r="Z209" s="13" t="s">
        <v>34</v>
      </c>
      <c r="AA209" s="14" t="s">
        <v>69</v>
      </c>
      <c r="AB209" s="13" t="s">
        <v>72</v>
      </c>
      <c r="AC209" s="13" t="s">
        <v>80</v>
      </c>
      <c r="AD209" s="62" t="s">
        <v>81</v>
      </c>
      <c r="AE209" s="65" t="s">
        <v>77</v>
      </c>
      <c r="AF209" s="63" t="s">
        <v>70</v>
      </c>
      <c r="AG209" s="13" t="s">
        <v>607</v>
      </c>
      <c r="AH209" s="13" t="s">
        <v>608</v>
      </c>
      <c r="AI209" s="13" t="s">
        <v>601</v>
      </c>
      <c r="AJ209" s="13" t="s">
        <v>68</v>
      </c>
      <c r="AK209" s="13" t="s">
        <v>602</v>
      </c>
      <c r="AL209" s="14" t="s">
        <v>69</v>
      </c>
      <c r="AM209" s="13" t="s">
        <v>72</v>
      </c>
      <c r="AN209" s="13" t="s">
        <v>80</v>
      </c>
      <c r="AO209" s="62" t="s">
        <v>81</v>
      </c>
      <c r="AP209" s="65" t="s">
        <v>77</v>
      </c>
      <c r="AQ209" s="63" t="s">
        <v>70</v>
      </c>
      <c r="AR209" s="13" t="s">
        <v>621</v>
      </c>
      <c r="AS209" s="13" t="s">
        <v>622</v>
      </c>
      <c r="AT209" s="13" t="s">
        <v>623</v>
      </c>
      <c r="AU209" s="13" t="s">
        <v>68</v>
      </c>
      <c r="AV209" s="13" t="s">
        <v>34</v>
      </c>
      <c r="AW209" s="14" t="s">
        <v>69</v>
      </c>
      <c r="AX209" s="13" t="s">
        <v>72</v>
      </c>
      <c r="AY209" s="13" t="s">
        <v>80</v>
      </c>
      <c r="AZ209" s="62" t="s">
        <v>81</v>
      </c>
      <c r="BA209" s="65" t="s">
        <v>77</v>
      </c>
      <c r="BB209" s="63" t="s">
        <v>70</v>
      </c>
      <c r="BC209" s="13" t="s">
        <v>621</v>
      </c>
      <c r="BD209" s="13" t="s">
        <v>622</v>
      </c>
      <c r="BE209" s="13" t="s">
        <v>623</v>
      </c>
      <c r="BF209" s="13" t="s">
        <v>68</v>
      </c>
      <c r="BG209" s="13" t="s">
        <v>34</v>
      </c>
      <c r="BH209" s="14" t="s">
        <v>69</v>
      </c>
      <c r="BI209" s="19"/>
      <c r="BJ209" s="12"/>
      <c r="BK209" s="1199"/>
      <c r="BL209" s="349"/>
      <c r="BM209" s="276"/>
      <c r="BN209" s="285"/>
      <c r="BO209" s="15"/>
    </row>
    <row r="210" spans="1:67" x14ac:dyDescent="0.25">
      <c r="A210" s="145"/>
      <c r="B210" s="12"/>
      <c r="C210" s="115"/>
      <c r="D210" s="12"/>
      <c r="E210" s="118">
        <f>BL204</f>
        <v>0</v>
      </c>
      <c r="F210" s="19">
        <f>IF($D$4=2024,1,0)</f>
        <v>1</v>
      </c>
      <c r="G210" s="178">
        <f>IF($B250="Yes",$C$5,$I249)</f>
        <v>12</v>
      </c>
      <c r="H210" s="36">
        <f>VLOOKUP(H248,'Lookup Tables'!$A$22:$B$33,2,FALSE)</f>
        <v>3</v>
      </c>
      <c r="I210" s="192">
        <f>VLOOKUP($E$4,'Lookup Tables'!$AB$46:$AN$58,MATCH($H210,'Lookup Tables'!$AB$46:$AN$46),FALSE)</f>
        <v>12</v>
      </c>
      <c r="J210" s="586">
        <f>VLOOKUP(H210,'Lookup Tables'!$A$3:$AA$16,MATCH(PersonCalcYr3!$G210,'Lookup Tables'!$A$3:$AA$3),FALSE)</f>
        <v>1.5161</v>
      </c>
      <c r="K210" s="54">
        <f>VLOOKUP($H248,'Lookup Tables'!$K$23:$L$34,2,FALSE)</f>
        <v>0</v>
      </c>
      <c r="L210" s="12">
        <f>IF(G210&lt;=K210,G210,K210)</f>
        <v>0</v>
      </c>
      <c r="M210" s="195">
        <f>IF(12-I210&gt;=1,1,0)</f>
        <v>0</v>
      </c>
      <c r="N210" s="15">
        <f>(('Rate Tables'!D73*PersonCalcYr3!E210)*PersonCalcYr3!L210)*PersonCalcYr3!F210*M210</f>
        <v>0</v>
      </c>
      <c r="O210" s="28">
        <f>G210-((J210+L210)*M210)</f>
        <v>12</v>
      </c>
      <c r="P210" s="8">
        <f>IF(O210&lt;0,O210*0,1)*O210</f>
        <v>12</v>
      </c>
      <c r="Q210" s="120">
        <f>VLOOKUP($H248,'Lookup Tables'!$A$22:$B$33,2,FALSE)+(L210*M210)+(J210*M210)</f>
        <v>3</v>
      </c>
      <c r="R210" s="121" t="str">
        <f>VLOOKUP(Q210,'Lookup Tables'!$A$38:$B$151,2,FALSE)</f>
        <v>Sept</v>
      </c>
      <c r="S210" s="36">
        <f>VLOOKUP(R210,'Lookup Tables'!$A$22:$B$33,2,FALSE)</f>
        <v>3</v>
      </c>
      <c r="T210" s="599">
        <f>VLOOKUP($E$4,'Lookup Tables'!$AB$63:$AN$75,MATCH(PersonCalcYr3!$S210,'Lookup Tables'!$AB$63:$AN$63),FALSE)</f>
        <v>0.5161</v>
      </c>
      <c r="U210" s="34">
        <f>VLOOKUP(S210,'Lookup Tables'!$A$3:$AA$16,MATCH(PersonCalcYr3!$P210,'Lookup Tables'!$A$3:$AA$3),FALSE)</f>
        <v>1.5161</v>
      </c>
      <c r="V210" s="12">
        <f>9-T210</f>
        <v>8.4839000000000002</v>
      </c>
      <c r="W210" s="122">
        <f>P210-U210</f>
        <v>10.4839</v>
      </c>
      <c r="X210" s="119">
        <f>IF(V210&lt;=W210,V210,W210)</f>
        <v>8.4839000000000002</v>
      </c>
      <c r="Y210" s="195">
        <f>IF(12-T210-U210-X210&gt;=0,1,0)</f>
        <v>1</v>
      </c>
      <c r="Z210" s="20">
        <f>((('Rate Tables'!E73*$E210)*PersonCalcYr3!$X210)*$F210)*Y210</f>
        <v>0</v>
      </c>
      <c r="AA210" s="197">
        <f>O210-(((U210*U214)+X210)*Y210)</f>
        <v>2</v>
      </c>
      <c r="AB210" s="8">
        <f>IF(AA210&lt;0,AA210*0,1)*AA210</f>
        <v>2</v>
      </c>
      <c r="AC210" s="601">
        <f>S210+(X210*Y210)+((U210*U214)*Y210)</f>
        <v>13</v>
      </c>
      <c r="AD210" s="121" t="str">
        <f>VLOOKUP(AC210,'Lookup Tables'!$A$38:$B$151,2,FALSE)</f>
        <v>July</v>
      </c>
      <c r="AE210" s="36">
        <f>VLOOKUP(AD210,'Lookup Tables'!$A$22:$B$33,2,FALSE)</f>
        <v>1</v>
      </c>
      <c r="AF210" s="34">
        <f>VLOOKUP(AE210,'Lookup Tables'!$A$3:$AA$16,MATCH(PersonCalcYr3!AB210,'Lookup Tables'!$A$3:$AA$3),FALSE)</f>
        <v>1.4839</v>
      </c>
      <c r="AG210" s="12">
        <v>9</v>
      </c>
      <c r="AH210" s="122">
        <f>AB210-AF210</f>
        <v>0.5161</v>
      </c>
      <c r="AI210" s="119">
        <f>IF(AG210&lt;=AH210,AG210,AH210)</f>
        <v>0.5161</v>
      </c>
      <c r="AJ210" s="119">
        <f>IF((AG210+AF210)&lt;=0,0,1)</f>
        <v>1</v>
      </c>
      <c r="AK210" s="124">
        <f>((('Rate Tables'!F73*$E210)*PersonCalcYr3!AI210)*$F210)*AJ210</f>
        <v>0</v>
      </c>
      <c r="AL210" s="28">
        <f>AB210-AF210-AI210</f>
        <v>0</v>
      </c>
      <c r="AM210" s="8">
        <f>IF(AL210&lt;0,AL210*0,1)*AL210</f>
        <v>0</v>
      </c>
      <c r="AN210" s="601">
        <f>AE210+(AI210*AJ210)+((AF210*AF214)*AJ210)</f>
        <v>3</v>
      </c>
      <c r="AO210" s="121" t="str">
        <f>VLOOKUP(AN210,'Lookup Tables'!$A$38:$B$151,2,FALSE)</f>
        <v>Sept</v>
      </c>
      <c r="AP210" s="36">
        <f>VLOOKUP(AO210,'Lookup Tables'!$A$22:$B$33,2,FALSE)</f>
        <v>3</v>
      </c>
      <c r="AQ210" s="34">
        <f>VLOOKUP(AP210,'Lookup Tables'!$A$3:$AA$16,MATCH(PersonCalcYr3!AM210,'Lookup Tables'!$A$3:$AA$3),FALSE)</f>
        <v>0</v>
      </c>
      <c r="AR210" s="12">
        <v>9</v>
      </c>
      <c r="AS210" s="122">
        <f>AM210-AQ210</f>
        <v>0</v>
      </c>
      <c r="AT210" s="119">
        <f>IF(AR210&lt;=AS210,AR210,AS210)</f>
        <v>0</v>
      </c>
      <c r="AU210" s="119">
        <f>IF((AR210+AQ210)&lt;=0,0,1)</f>
        <v>1</v>
      </c>
      <c r="AV210" s="124">
        <f>((('Rate Tables'!G73*$E210)*PersonCalcYr3!AT210)*$F210)*AU210</f>
        <v>0</v>
      </c>
      <c r="AW210" s="28">
        <f>AM210-AQ210-AT210</f>
        <v>0</v>
      </c>
      <c r="AX210" s="8">
        <f>IF(AW210&lt;0,AW210*0,1)*AW210</f>
        <v>0</v>
      </c>
      <c r="AY210" s="601">
        <f>AP210+(AT210*AU210)+((AQ210*AQ214)*AU210)</f>
        <v>3</v>
      </c>
      <c r="AZ210" s="121" t="str">
        <f>VLOOKUP(AY210,'Lookup Tables'!$A$38:$B$151,2,FALSE)</f>
        <v>Sept</v>
      </c>
      <c r="BA210" s="36">
        <f>VLOOKUP(AZ210,'Lookup Tables'!$A$22:$B$33,2,FALSE)</f>
        <v>3</v>
      </c>
      <c r="BB210" s="34">
        <f>VLOOKUP(BA210,'Lookup Tables'!$A$3:$AA$16,MATCH(PersonCalcYr3!AX210,'Lookup Tables'!$A$3:$AA$3),FALSE)</f>
        <v>0</v>
      </c>
      <c r="BC210" s="12">
        <v>9</v>
      </c>
      <c r="BD210" s="122">
        <f>AX210-BB210</f>
        <v>0</v>
      </c>
      <c r="BE210" s="119">
        <f>IF(BC210&lt;=BD210,BC210,BD210)</f>
        <v>0</v>
      </c>
      <c r="BF210" s="119">
        <f>IF((BC210+BB210)&lt;=0,0,1)</f>
        <v>1</v>
      </c>
      <c r="BG210" s="124">
        <f>((('Rate Tables'!H73*$E210)*PersonCalcYr3!BE210)*$F210)*BF210</f>
        <v>0</v>
      </c>
      <c r="BH210" s="28">
        <f>AX210-BB210-BE210</f>
        <v>0</v>
      </c>
      <c r="BI210" s="19"/>
      <c r="BJ210" s="12"/>
      <c r="BK210" s="1199"/>
      <c r="BL210" s="349"/>
      <c r="BM210" s="276"/>
      <c r="BN210" s="285"/>
      <c r="BO210" s="15"/>
    </row>
    <row r="211" spans="1:67" x14ac:dyDescent="0.25">
      <c r="A211" s="145"/>
      <c r="B211" s="12"/>
      <c r="C211" s="819" t="s">
        <v>732</v>
      </c>
      <c r="D211" s="12"/>
      <c r="E211" s="13" t="s">
        <v>16</v>
      </c>
      <c r="F211" s="13" t="s">
        <v>42</v>
      </c>
      <c r="G211" s="13" t="s">
        <v>41</v>
      </c>
      <c r="H211" s="65" t="s">
        <v>77</v>
      </c>
      <c r="I211" s="64" t="s">
        <v>90</v>
      </c>
      <c r="J211" s="63" t="s">
        <v>70</v>
      </c>
      <c r="K211" s="52" t="s">
        <v>620</v>
      </c>
      <c r="L211" s="13" t="s">
        <v>78</v>
      </c>
      <c r="M211" s="13" t="s">
        <v>82</v>
      </c>
      <c r="N211" s="13" t="s">
        <v>33</v>
      </c>
      <c r="O211" s="14" t="s">
        <v>69</v>
      </c>
      <c r="P211" s="13" t="s">
        <v>72</v>
      </c>
      <c r="Q211" s="65" t="s">
        <v>80</v>
      </c>
      <c r="R211" s="62" t="s">
        <v>81</v>
      </c>
      <c r="S211" s="65" t="s">
        <v>77</v>
      </c>
      <c r="T211" s="600" t="s">
        <v>83</v>
      </c>
      <c r="U211" s="63" t="s">
        <v>70</v>
      </c>
      <c r="V211" s="13" t="s">
        <v>94</v>
      </c>
      <c r="W211" s="13" t="s">
        <v>45</v>
      </c>
      <c r="X211" s="13" t="s">
        <v>79</v>
      </c>
      <c r="Y211" s="13" t="s">
        <v>68</v>
      </c>
      <c r="Z211" s="13" t="s">
        <v>34</v>
      </c>
      <c r="AA211" s="14" t="s">
        <v>69</v>
      </c>
      <c r="AB211" s="13" t="s">
        <v>72</v>
      </c>
      <c r="AC211" s="13" t="s">
        <v>80</v>
      </c>
      <c r="AD211" s="62" t="s">
        <v>81</v>
      </c>
      <c r="AE211" s="65" t="s">
        <v>77</v>
      </c>
      <c r="AF211" s="63" t="s">
        <v>70</v>
      </c>
      <c r="AG211" s="13" t="s">
        <v>607</v>
      </c>
      <c r="AH211" s="13" t="s">
        <v>608</v>
      </c>
      <c r="AI211" s="13" t="s">
        <v>601</v>
      </c>
      <c r="AJ211" s="13" t="s">
        <v>68</v>
      </c>
      <c r="AK211" s="13" t="s">
        <v>602</v>
      </c>
      <c r="AL211" s="14" t="s">
        <v>69</v>
      </c>
      <c r="AM211" s="13" t="s">
        <v>72</v>
      </c>
      <c r="AN211" s="13" t="s">
        <v>80</v>
      </c>
      <c r="AO211" s="62" t="s">
        <v>81</v>
      </c>
      <c r="AP211" s="65" t="s">
        <v>77</v>
      </c>
      <c r="AQ211" s="63" t="s">
        <v>70</v>
      </c>
      <c r="AR211" s="13" t="s">
        <v>621</v>
      </c>
      <c r="AS211" s="13" t="s">
        <v>622</v>
      </c>
      <c r="AT211" s="13" t="s">
        <v>623</v>
      </c>
      <c r="AU211" s="13" t="s">
        <v>68</v>
      </c>
      <c r="AV211" s="13" t="s">
        <v>34</v>
      </c>
      <c r="AW211" s="14" t="s">
        <v>69</v>
      </c>
      <c r="AX211" s="13" t="s">
        <v>72</v>
      </c>
      <c r="AY211" s="13" t="s">
        <v>80</v>
      </c>
      <c r="AZ211" s="62" t="s">
        <v>81</v>
      </c>
      <c r="BA211" s="65" t="s">
        <v>77</v>
      </c>
      <c r="BB211" s="63" t="s">
        <v>70</v>
      </c>
      <c r="BC211" s="13" t="s">
        <v>621</v>
      </c>
      <c r="BD211" s="13" t="s">
        <v>622</v>
      </c>
      <c r="BE211" s="13" t="s">
        <v>623</v>
      </c>
      <c r="BF211" s="13" t="s">
        <v>68</v>
      </c>
      <c r="BG211" s="13" t="s">
        <v>34</v>
      </c>
      <c r="BH211" s="14" t="s">
        <v>69</v>
      </c>
      <c r="BI211" s="19"/>
      <c r="BJ211" s="12"/>
      <c r="BK211" s="1199"/>
      <c r="BL211" s="349"/>
      <c r="BM211" s="276"/>
      <c r="BN211" s="285"/>
      <c r="BO211" s="15"/>
    </row>
    <row r="212" spans="1:67" x14ac:dyDescent="0.25">
      <c r="A212" s="145"/>
      <c r="B212" s="12"/>
      <c r="C212" s="115"/>
      <c r="D212" s="12"/>
      <c r="E212" s="118">
        <f>BL204</f>
        <v>0</v>
      </c>
      <c r="F212" s="19">
        <f>IF($D$4=2025,1,0)</f>
        <v>0</v>
      </c>
      <c r="G212" s="178">
        <f>IF($B250="Yes",$C$5,$I249)</f>
        <v>12</v>
      </c>
      <c r="H212" s="36">
        <f>VLOOKUP(H248,'Lookup Tables'!$A$22:$B$33,2,FALSE)</f>
        <v>3</v>
      </c>
      <c r="I212" s="192">
        <f>VLOOKUP($E$4,'Lookup Tables'!$AB$46:$AN$58,MATCH($H212,'Lookup Tables'!$AB$46:$AN$46),FALSE)</f>
        <v>12</v>
      </c>
      <c r="J212" s="586">
        <f>VLOOKUP(H212,'Lookup Tables'!$A$3:$AA$16,MATCH(PersonCalcYr3!$G212,'Lookup Tables'!$A$3:$AA$3),FALSE)</f>
        <v>1.5161</v>
      </c>
      <c r="K212" s="54">
        <f>VLOOKUP($H248,'Lookup Tables'!$K$23:$L$34,2,FALSE)</f>
        <v>0</v>
      </c>
      <c r="L212" s="12">
        <f>IF(G212&lt;=K212,G212,K212)</f>
        <v>0</v>
      </c>
      <c r="M212" s="195">
        <f>IF(12-I212&gt;=1,1,0)</f>
        <v>0</v>
      </c>
      <c r="N212" s="15">
        <f>(('Rate Tables'!E73*PersonCalcYr3!E212)*PersonCalcYr3!L212)*PersonCalcYr3!F212*M212</f>
        <v>0</v>
      </c>
      <c r="O212" s="28">
        <f>G212-((J212+L212)*M212)</f>
        <v>12</v>
      </c>
      <c r="P212" s="8">
        <f>IF(O212&lt;0,O212*0,1)*O212</f>
        <v>12</v>
      </c>
      <c r="Q212" s="120">
        <f>VLOOKUP($H248,'Lookup Tables'!$A$22:$B$33,2,FALSE)+(L212*M212)+(J212*M212)</f>
        <v>3</v>
      </c>
      <c r="R212" s="121" t="str">
        <f>VLOOKUP(Q212,'Lookup Tables'!$A$38:$B$151,2,FALSE)</f>
        <v>Sept</v>
      </c>
      <c r="S212" s="36">
        <f>VLOOKUP(R212,'Lookup Tables'!$A$22:$B$33,2,FALSE)</f>
        <v>3</v>
      </c>
      <c r="T212" s="599">
        <f>VLOOKUP($E$4,'Lookup Tables'!$AB$63:$AN$75,MATCH(PersonCalcYr3!$S212,'Lookup Tables'!$AB$63:$AN$63),FALSE)</f>
        <v>0.5161</v>
      </c>
      <c r="U212" s="34">
        <f>VLOOKUP(S212,'Lookup Tables'!$A$3:$AA$16,MATCH(PersonCalcYr3!$P212,'Lookup Tables'!$A$3:$AA$3),FALSE)</f>
        <v>1.5161</v>
      </c>
      <c r="V212" s="12">
        <f>9-T212</f>
        <v>8.4839000000000002</v>
      </c>
      <c r="W212" s="122">
        <f>P212-U212</f>
        <v>10.4839</v>
      </c>
      <c r="X212" s="119">
        <f>IF(V212&lt;=W212,V212,W212)</f>
        <v>8.4839000000000002</v>
      </c>
      <c r="Y212" s="195">
        <f>IF(12-T212-U212-X212&gt;=0,1,0)</f>
        <v>1</v>
      </c>
      <c r="Z212" s="20">
        <f>((('Rate Tables'!F73*$E212)*PersonCalcYr3!$X212)*$F212)*Y212</f>
        <v>0</v>
      </c>
      <c r="AA212" s="197">
        <f>O212-(((U212*U214)+X212)*Y212)</f>
        <v>2</v>
      </c>
      <c r="AB212" s="8">
        <f>IF(AA212&lt;0,AA212*0,1)*AA212</f>
        <v>2</v>
      </c>
      <c r="AC212" s="601">
        <f>S212+(X212*Y212)+((U212*U214)*Y212)</f>
        <v>13</v>
      </c>
      <c r="AD212" s="121" t="str">
        <f>VLOOKUP(AC212,'Lookup Tables'!$A$38:$B$151,2,FALSE)</f>
        <v>July</v>
      </c>
      <c r="AE212" s="36">
        <f>VLOOKUP(AD212,'Lookup Tables'!$A$22:$B$33,2,FALSE)</f>
        <v>1</v>
      </c>
      <c r="AF212" s="34">
        <f>VLOOKUP(AE212,'Lookup Tables'!$A$3:$AA$16,MATCH(PersonCalcYr3!AB212,'Lookup Tables'!$A$3:$AA$3),FALSE)</f>
        <v>1.4839</v>
      </c>
      <c r="AG212" s="12">
        <v>9</v>
      </c>
      <c r="AH212" s="122">
        <f>AB212-AF212</f>
        <v>0.5161</v>
      </c>
      <c r="AI212" s="119">
        <f>IF(AG212&lt;=AH212,AG212,AH212)</f>
        <v>0.5161</v>
      </c>
      <c r="AJ212" s="119">
        <f>IF((AG212+AF212)&lt;=0,0,1)</f>
        <v>1</v>
      </c>
      <c r="AK212" s="124">
        <f>((('Rate Tables'!G73*$E212)*PersonCalcYr3!AI212)*$F212)*AJ212</f>
        <v>0</v>
      </c>
      <c r="AL212" s="28">
        <f>AB212-AF212-AI212</f>
        <v>0</v>
      </c>
      <c r="AM212" s="8">
        <f>IF(AL212&lt;0,AL212*0,1)*AL212</f>
        <v>0</v>
      </c>
      <c r="AN212" s="601">
        <f>AE212+(AI212*AJ212)+((AF212*AF214)*AJ212)</f>
        <v>3</v>
      </c>
      <c r="AO212" s="121" t="str">
        <f>VLOOKUP(AN212,'Lookup Tables'!$A$38:$B$151,2,FALSE)</f>
        <v>Sept</v>
      </c>
      <c r="AP212" s="36">
        <f>VLOOKUP(AO212,'Lookup Tables'!$A$22:$B$33,2,FALSE)</f>
        <v>3</v>
      </c>
      <c r="AQ212" s="34">
        <f>VLOOKUP(AP212,'Lookup Tables'!$A$3:$AA$16,MATCH(PersonCalcYr3!AM212,'Lookup Tables'!$A$3:$AA$3),FALSE)</f>
        <v>0</v>
      </c>
      <c r="AR212" s="12">
        <v>9</v>
      </c>
      <c r="AS212" s="122">
        <f>AM212-AQ212</f>
        <v>0</v>
      </c>
      <c r="AT212" s="119">
        <f>IF(AR212&lt;=AS212,AR212,AS212)</f>
        <v>0</v>
      </c>
      <c r="AU212" s="119">
        <f>IF((AR212+AQ212)&lt;=0,0,1)</f>
        <v>1</v>
      </c>
      <c r="AV212" s="124">
        <f>((('Rate Tables'!H73*$E212)*PersonCalcYr3!AT212)*$F212)*AU212</f>
        <v>0</v>
      </c>
      <c r="AW212" s="28">
        <f>AM212-AQ212-AT212</f>
        <v>0</v>
      </c>
      <c r="AX212" s="8">
        <f>IF(AW212&lt;0,AW212*0,1)*AW212</f>
        <v>0</v>
      </c>
      <c r="AY212" s="601">
        <f>AP212+(AT212*AU212)+((AQ212*AQ214)*AU212)</f>
        <v>3</v>
      </c>
      <c r="AZ212" s="121" t="str">
        <f>VLOOKUP(AY212,'Lookup Tables'!$A$38:$B$151,2,FALSE)</f>
        <v>Sept</v>
      </c>
      <c r="BA212" s="36">
        <f>VLOOKUP(AZ212,'Lookup Tables'!$A$22:$B$33,2,FALSE)</f>
        <v>3</v>
      </c>
      <c r="BB212" s="34">
        <f>VLOOKUP(BA212,'Lookup Tables'!$A$3:$AA$16,MATCH(PersonCalcYr3!AX212,'Lookup Tables'!$A$3:$AA$3),FALSE)</f>
        <v>0</v>
      </c>
      <c r="BC212" s="12">
        <v>9</v>
      </c>
      <c r="BD212" s="122">
        <f>AX212-BB212</f>
        <v>0</v>
      </c>
      <c r="BE212" s="119">
        <f>IF(BC212&lt;=BD212,BC212,BD212)</f>
        <v>0</v>
      </c>
      <c r="BF212" s="119">
        <f>IF((BC212+BB212)&lt;=0,0,1)</f>
        <v>1</v>
      </c>
      <c r="BG212" s="124">
        <f>((('Rate Tables'!I73*$E212)*PersonCalcYr3!BE212)*$F212)*BF212</f>
        <v>0</v>
      </c>
      <c r="BH212" s="28">
        <f>AX212-BB212-BE212</f>
        <v>0</v>
      </c>
      <c r="BI212" s="19"/>
      <c r="BJ212" s="12"/>
      <c r="BK212" s="1199"/>
      <c r="BL212" s="349" t="s">
        <v>643</v>
      </c>
      <c r="BM212" s="276"/>
      <c r="BN212" s="285"/>
      <c r="BO212" s="15"/>
    </row>
    <row r="213" spans="1:67" x14ac:dyDescent="0.25">
      <c r="A213" s="145"/>
      <c r="B213" s="12"/>
      <c r="C213" s="115"/>
      <c r="D213" s="12"/>
      <c r="E213" s="118"/>
      <c r="F213" s="19"/>
      <c r="G213" s="12"/>
      <c r="H213" s="12"/>
      <c r="I213" s="141"/>
      <c r="J213" s="826" t="s">
        <v>183</v>
      </c>
      <c r="K213" s="13" t="s">
        <v>181</v>
      </c>
      <c r="L213" s="13" t="s">
        <v>179</v>
      </c>
      <c r="M213" s="13" t="s">
        <v>180</v>
      </c>
      <c r="N213" s="660" t="s">
        <v>128</v>
      </c>
      <c r="O213" s="135" t="s">
        <v>130</v>
      </c>
      <c r="P213" s="8"/>
      <c r="Q213" s="123"/>
      <c r="R213" s="12"/>
      <c r="S213" s="12"/>
      <c r="T213" s="12"/>
      <c r="U213" s="12"/>
      <c r="V213" s="228" t="s">
        <v>183</v>
      </c>
      <c r="W213" s="13" t="s">
        <v>181</v>
      </c>
      <c r="X213" s="13" t="s">
        <v>179</v>
      </c>
      <c r="Y213" s="13" t="s">
        <v>180</v>
      </c>
      <c r="Z213" s="660" t="s">
        <v>128</v>
      </c>
      <c r="AA213" s="135" t="s">
        <v>130</v>
      </c>
      <c r="AB213" s="8"/>
      <c r="AC213" s="123"/>
      <c r="AD213" s="12"/>
      <c r="AE213" s="12"/>
      <c r="AF213" s="12"/>
      <c r="AG213" s="228" t="s">
        <v>183</v>
      </c>
      <c r="AH213" s="13" t="s">
        <v>181</v>
      </c>
      <c r="AI213" s="13" t="s">
        <v>179</v>
      </c>
      <c r="AJ213" s="13" t="s">
        <v>180</v>
      </c>
      <c r="AK213" s="660" t="s">
        <v>128</v>
      </c>
      <c r="AL213" s="135" t="s">
        <v>130</v>
      </c>
      <c r="AM213" s="11"/>
      <c r="AN213" s="13"/>
      <c r="AO213" s="13"/>
      <c r="AP213" s="13"/>
      <c r="AQ213" s="13"/>
      <c r="AR213" s="228" t="s">
        <v>183</v>
      </c>
      <c r="AS213" s="13" t="s">
        <v>181</v>
      </c>
      <c r="AT213" s="13" t="s">
        <v>179</v>
      </c>
      <c r="AU213" s="13" t="s">
        <v>180</v>
      </c>
      <c r="AV213" s="660" t="s">
        <v>128</v>
      </c>
      <c r="AW213" s="135" t="s">
        <v>130</v>
      </c>
      <c r="AX213" s="153"/>
      <c r="AY213" s="153"/>
      <c r="AZ213" s="153"/>
      <c r="BA213" s="153"/>
      <c r="BB213" s="153"/>
      <c r="BC213" s="228" t="s">
        <v>183</v>
      </c>
      <c r="BD213" s="13" t="s">
        <v>181</v>
      </c>
      <c r="BE213" s="13" t="s">
        <v>179</v>
      </c>
      <c r="BF213" s="13" t="s">
        <v>180</v>
      </c>
      <c r="BG213" s="660" t="s">
        <v>128</v>
      </c>
      <c r="BH213" s="135" t="s">
        <v>130</v>
      </c>
      <c r="BI213" s="13" t="s">
        <v>159</v>
      </c>
      <c r="BJ213" s="12"/>
      <c r="BK213" s="1199"/>
      <c r="BL213" s="350" t="s">
        <v>644</v>
      </c>
      <c r="BM213" s="227" t="s">
        <v>582</v>
      </c>
      <c r="BN213" s="663">
        <f>IF(BN204&gt;0,1,0)</f>
        <v>0</v>
      </c>
      <c r="BO213" s="15"/>
    </row>
    <row r="214" spans="1:67" x14ac:dyDescent="0.25">
      <c r="A214" s="145"/>
      <c r="B214" s="227"/>
      <c r="C214" s="115"/>
      <c r="D214" s="12"/>
      <c r="E214" s="118"/>
      <c r="F214" s="19"/>
      <c r="G214" s="12"/>
      <c r="H214" s="12"/>
      <c r="I214" s="141"/>
      <c r="J214" s="141">
        <f>IF($BK223&gt;0,1,0)</f>
        <v>0</v>
      </c>
      <c r="K214" s="12">
        <f>IF($BK223=0,1,0)</f>
        <v>1</v>
      </c>
      <c r="L214" s="129">
        <f>'Rate Tables'!$P$17</f>
        <v>910</v>
      </c>
      <c r="M214" s="129">
        <f>'Rate Tables'!$Q$17</f>
        <v>933.34</v>
      </c>
      <c r="N214" s="661">
        <f>ROUNDUP(N218,0)</f>
        <v>0</v>
      </c>
      <c r="O214" s="136">
        <f>((J214*L214)+(K214*M214))*N214</f>
        <v>0</v>
      </c>
      <c r="P214" s="8"/>
      <c r="Q214" s="123"/>
      <c r="R214" s="12"/>
      <c r="S214" s="12"/>
      <c r="T214" s="605" t="s">
        <v>573</v>
      </c>
      <c r="U214" s="606">
        <f>VLOOKUP($E$4,'Lookup Tables'!$L$79:$X$91,MATCH(PersonCalcYr3!$S206,'Lookup Tables'!$L$79:$X$79),FALSE)</f>
        <v>1</v>
      </c>
      <c r="V214" s="141">
        <f>IF($BK223&gt;0,1,0)</f>
        <v>0</v>
      </c>
      <c r="W214" s="12">
        <f>IF($BK223=0,1,0)</f>
        <v>1</v>
      </c>
      <c r="X214" s="129">
        <f>'Rate Tables'!$P$18</f>
        <v>910</v>
      </c>
      <c r="Y214" s="129">
        <f>'Rate Tables'!$Q$18</f>
        <v>933.34</v>
      </c>
      <c r="Z214" s="661">
        <f>IF(Y218&lt;=AA218,Y218,AA218)</f>
        <v>0</v>
      </c>
      <c r="AA214" s="136">
        <f>((V214*X214)+(W214*Y214))*Z214</f>
        <v>0</v>
      </c>
      <c r="AB214" s="8"/>
      <c r="AC214" s="123"/>
      <c r="AD214" s="12"/>
      <c r="AE214" s="605" t="s">
        <v>573</v>
      </c>
      <c r="AF214" s="606">
        <v>1</v>
      </c>
      <c r="AG214" s="141">
        <f>IF($BK223&gt;0,1,0)</f>
        <v>0</v>
      </c>
      <c r="AH214" s="12">
        <f>IF($BK223=0,1,0)</f>
        <v>1</v>
      </c>
      <c r="AI214" s="129">
        <f>'Rate Tables'!$P$19</f>
        <v>910</v>
      </c>
      <c r="AJ214" s="129">
        <f>'Rate Tables'!$Q$19</f>
        <v>933.34</v>
      </c>
      <c r="AK214" s="661">
        <f>IF(AJ218&lt;=AL218,AJ218,AL218)</f>
        <v>0</v>
      </c>
      <c r="AL214" s="136">
        <f>((AG214*AI214)+(AH214*AJ214))*AK214</f>
        <v>0</v>
      </c>
      <c r="AM214" s="11"/>
      <c r="AN214" s="19"/>
      <c r="AO214" s="19"/>
      <c r="AP214" s="605" t="s">
        <v>573</v>
      </c>
      <c r="AQ214" s="606">
        <v>1</v>
      </c>
      <c r="AR214" s="141">
        <f>IF($BK223&gt;0,1,0)</f>
        <v>0</v>
      </c>
      <c r="AS214" s="12">
        <f>IF($BK223=0,1,0)</f>
        <v>1</v>
      </c>
      <c r="AT214" s="129">
        <f>'Rate Tables'!$P$20</f>
        <v>928.2</v>
      </c>
      <c r="AU214" s="129">
        <f>'Rate Tables'!$Q$20</f>
        <v>952</v>
      </c>
      <c r="AV214" s="661">
        <f>IF(AU218&lt;=AW218,AU218,AW218)</f>
        <v>0</v>
      </c>
      <c r="AW214" s="136">
        <f>((AR214*AT214)+(AS214*AU214))*AV214</f>
        <v>0</v>
      </c>
      <c r="AX214" s="125"/>
      <c r="AY214" s="125"/>
      <c r="AZ214" s="125"/>
      <c r="BA214" s="125"/>
      <c r="BB214" s="125"/>
      <c r="BC214" s="141">
        <f>IF($BK223&gt;0,1,0)</f>
        <v>0</v>
      </c>
      <c r="BD214" s="12">
        <f>IF($BK223=0,1,0)</f>
        <v>1</v>
      </c>
      <c r="BE214" s="129">
        <f>'Rate Tables'!$P$21</f>
        <v>946.76</v>
      </c>
      <c r="BF214" s="129">
        <f>'Rate Tables'!$Q$21</f>
        <v>971.04</v>
      </c>
      <c r="BG214" s="661">
        <f>IF(BF218&lt;=BH218,BF218,BH218)</f>
        <v>0</v>
      </c>
      <c r="BH214" s="136">
        <f>((BC214*BE214)+(BD214*BF214))*BG214</f>
        <v>0</v>
      </c>
      <c r="BI214" s="19">
        <f>VLOOKUP(B202,'Lookup Tables'!$AK$22:$AM$24,2,0)</f>
        <v>0</v>
      </c>
      <c r="BJ214" s="12"/>
      <c r="BK214" s="307">
        <f>N218+N219+N220+N221+Z218+Z219+Z220+Z221+AK218+AK219+AK220+AK221+AV218+AV219+AV220+AV221+BG218+BG219+BG220+BG221</f>
        <v>9</v>
      </c>
      <c r="BL214" s="358" t="str">
        <f>IF(BL204=50%,"no",Personnel!W70)</f>
        <v>No</v>
      </c>
      <c r="BM214" s="12"/>
      <c r="BN214" s="285"/>
      <c r="BO214" s="15"/>
    </row>
    <row r="215" spans="1:67" x14ac:dyDescent="0.25">
      <c r="A215" s="145"/>
      <c r="B215" s="12"/>
      <c r="C215" s="115"/>
      <c r="D215" s="12"/>
      <c r="E215" s="126"/>
      <c r="F215" s="19"/>
      <c r="G215" s="12"/>
      <c r="H215" s="12"/>
      <c r="I215" s="12"/>
      <c r="J215" s="141">
        <f>IF($BK223&gt;0,1,0)</f>
        <v>0</v>
      </c>
      <c r="K215" s="12">
        <f>IF($BK223=0,1,0)</f>
        <v>1</v>
      </c>
      <c r="L215" s="129">
        <f>'Rate Tables'!$P$18</f>
        <v>910</v>
      </c>
      <c r="M215" s="129">
        <f>'Rate Tables'!$Q$18</f>
        <v>933.34</v>
      </c>
      <c r="N215" s="661">
        <f>ROUNDUP(N219,0)</f>
        <v>0</v>
      </c>
      <c r="O215" s="136">
        <f>((J215*L215)+(K215*M215))*N215</f>
        <v>0</v>
      </c>
      <c r="P215" s="19"/>
      <c r="Q215" s="19"/>
      <c r="R215" s="19"/>
      <c r="S215" s="19"/>
      <c r="T215" s="19"/>
      <c r="U215" s="12"/>
      <c r="V215" s="141">
        <f>IF($BK223&gt;0,1,0)</f>
        <v>0</v>
      </c>
      <c r="W215" s="12">
        <f>IF($BK223=0,1,0)</f>
        <v>1</v>
      </c>
      <c r="X215" s="129">
        <f>'Rate Tables'!$P$19</f>
        <v>910</v>
      </c>
      <c r="Y215" s="129">
        <f>'Rate Tables'!$Q$19</f>
        <v>933.34</v>
      </c>
      <c r="Z215" s="661">
        <f>IF(Y218&lt;=AA219,Y218,AA219)</f>
        <v>0</v>
      </c>
      <c r="AA215" s="136">
        <f t="shared" ref="AA215:AA217" si="0">((V215*X215)+(W215*Y215))*Z215</f>
        <v>0</v>
      </c>
      <c r="AB215" s="20"/>
      <c r="AC215" s="20"/>
      <c r="AD215" s="20"/>
      <c r="AE215" s="20"/>
      <c r="AF215" s="123"/>
      <c r="AG215" s="141">
        <f>IF($BK223&gt;0,1,0)</f>
        <v>0</v>
      </c>
      <c r="AH215" s="12">
        <f>IF($BK223=0,1,0)</f>
        <v>1</v>
      </c>
      <c r="AI215" s="129">
        <f>'Rate Tables'!$P$20</f>
        <v>928.2</v>
      </c>
      <c r="AJ215" s="129">
        <f>'Rate Tables'!$Q$20</f>
        <v>952</v>
      </c>
      <c r="AK215" s="661">
        <f>IF(AJ218&lt;=AL219,AJ218,AL219)</f>
        <v>0</v>
      </c>
      <c r="AL215" s="136">
        <f>((AG215*AI215)+(AH215*AJ215))*AK215</f>
        <v>0</v>
      </c>
      <c r="AM215" s="11"/>
      <c r="AN215" s="19"/>
      <c r="AO215" s="19"/>
      <c r="AP215" s="19"/>
      <c r="AQ215" s="19"/>
      <c r="AR215" s="141">
        <f>IF($BK223&gt;0,1,0)</f>
        <v>0</v>
      </c>
      <c r="AS215" s="12">
        <f>IF($BK223=0,1,0)</f>
        <v>1</v>
      </c>
      <c r="AT215" s="129">
        <f>'Rate Tables'!$P$21</f>
        <v>946.76</v>
      </c>
      <c r="AU215" s="129">
        <f>'Rate Tables'!$Q$21</f>
        <v>971.04</v>
      </c>
      <c r="AV215" s="661">
        <f>IF(AU218&lt;=AW219,AU218,AW219)</f>
        <v>0</v>
      </c>
      <c r="AW215" s="136">
        <f>((AR215*AT215)+(AS215*AU215))*AV215</f>
        <v>0</v>
      </c>
      <c r="AX215" s="125"/>
      <c r="AY215" s="125"/>
      <c r="AZ215" s="125"/>
      <c r="BA215" s="125"/>
      <c r="BB215" s="125"/>
      <c r="BC215" s="141">
        <f>IF($BK223&gt;0,1,0)</f>
        <v>0</v>
      </c>
      <c r="BD215" s="12">
        <f>IF($BK223=0,1,0)</f>
        <v>1</v>
      </c>
      <c r="BE215" s="129">
        <f>'Rate Tables'!$P$22</f>
        <v>965.7</v>
      </c>
      <c r="BF215" s="129">
        <f>'Rate Tables'!$Q$22</f>
        <v>990.46</v>
      </c>
      <c r="BG215" s="661">
        <f>IF(BF218&lt;=BH219,BF218,BH219)</f>
        <v>0</v>
      </c>
      <c r="BH215" s="136">
        <f>((BC215*BE215)+(BD215*BF215))*BG215</f>
        <v>0</v>
      </c>
      <c r="BI215" s="19"/>
      <c r="BJ215" s="12"/>
      <c r="BK215" s="307">
        <f>ROUNDUP(BK214,0)</f>
        <v>9</v>
      </c>
      <c r="BL215" s="349">
        <f>IF(BL214="yes",0.5,1)</f>
        <v>1</v>
      </c>
      <c r="BM215" s="12"/>
      <c r="BN215" s="285"/>
      <c r="BO215" s="15"/>
    </row>
    <row r="216" spans="1:67" x14ac:dyDescent="0.25">
      <c r="A216" s="145"/>
      <c r="B216" s="12"/>
      <c r="C216" s="115"/>
      <c r="D216" s="12"/>
      <c r="E216" s="126"/>
      <c r="F216" s="19"/>
      <c r="G216" s="12"/>
      <c r="H216" s="12"/>
      <c r="I216" s="12"/>
      <c r="J216" s="141">
        <f>IF($BK223&gt;0,1,0)</f>
        <v>0</v>
      </c>
      <c r="K216" s="12">
        <f>IF($BK223=0,1,0)</f>
        <v>1</v>
      </c>
      <c r="L216" s="129">
        <f>'Rate Tables'!$P$19</f>
        <v>910</v>
      </c>
      <c r="M216" s="129">
        <f>'Rate Tables'!$Q$19</f>
        <v>933.34</v>
      </c>
      <c r="N216" s="661">
        <f>ROUNDUP(N220,0)</f>
        <v>0</v>
      </c>
      <c r="O216" s="136">
        <f>((J216*L216)+(K216*M216))*N216</f>
        <v>0</v>
      </c>
      <c r="P216" s="19"/>
      <c r="Q216" s="19"/>
      <c r="R216" s="19"/>
      <c r="S216" s="19"/>
      <c r="T216" s="19"/>
      <c r="U216" s="12"/>
      <c r="V216" s="141">
        <f>IF($BK223&gt;0,1,0)</f>
        <v>0</v>
      </c>
      <c r="W216" s="12">
        <f>IF($BK223=0,1,0)</f>
        <v>1</v>
      </c>
      <c r="X216" s="129">
        <f>'Rate Tables'!$P$20</f>
        <v>928.2</v>
      </c>
      <c r="Y216" s="129">
        <f>'Rate Tables'!$Q$20</f>
        <v>952</v>
      </c>
      <c r="Z216" s="661">
        <f>IF(Y218&lt;=AA220,Y218,AA220)</f>
        <v>9</v>
      </c>
      <c r="AA216" s="136">
        <f t="shared" si="0"/>
        <v>8568</v>
      </c>
      <c r="AB216" s="20"/>
      <c r="AC216" s="20"/>
      <c r="AD216" s="20"/>
      <c r="AE216" s="20"/>
      <c r="AF216" s="123"/>
      <c r="AG216" s="141">
        <f>IF($BK223&gt;0,1,0)</f>
        <v>0</v>
      </c>
      <c r="AH216" s="12">
        <f>IF($BK223=0,1,0)</f>
        <v>1</v>
      </c>
      <c r="AI216" s="129">
        <f>'Rate Tables'!$P$21</f>
        <v>946.76</v>
      </c>
      <c r="AJ216" s="129">
        <f>'Rate Tables'!$Q$21</f>
        <v>971.04</v>
      </c>
      <c r="AK216" s="661">
        <f>IF(AJ218&lt;=AL220,AJ218,AL220)</f>
        <v>0</v>
      </c>
      <c r="AL216" s="136">
        <f>((AG216*AI216)+(AH216*AJ216))*AK216</f>
        <v>0</v>
      </c>
      <c r="AM216" s="11"/>
      <c r="AN216" s="19"/>
      <c r="AO216" s="19"/>
      <c r="AP216" s="19"/>
      <c r="AQ216" s="19"/>
      <c r="AR216" s="141">
        <f>IF($BK223&gt;0,1,0)</f>
        <v>0</v>
      </c>
      <c r="AS216" s="12">
        <f>IF($BK223=0,1,0)</f>
        <v>1</v>
      </c>
      <c r="AT216" s="129">
        <f>'Rate Tables'!$P$22</f>
        <v>965.7</v>
      </c>
      <c r="AU216" s="129">
        <f>'Rate Tables'!$Q$22</f>
        <v>990.46</v>
      </c>
      <c r="AV216" s="661">
        <f>IF(AU218&lt;=AW220,AU218,AW220)</f>
        <v>0</v>
      </c>
      <c r="AW216" s="136">
        <f>((AR216*AT216)+(AS216*AU216))*AV216</f>
        <v>0</v>
      </c>
      <c r="AX216" s="125"/>
      <c r="AY216" s="125"/>
      <c r="AZ216" s="125"/>
      <c r="BA216" s="125"/>
      <c r="BB216" s="125"/>
      <c r="BC216" s="141">
        <f>IF($BK223&gt;0,1,0)</f>
        <v>0</v>
      </c>
      <c r="BD216" s="12">
        <f>IF($BK223=0,1,0)</f>
        <v>1</v>
      </c>
      <c r="BE216" s="129">
        <f>'Rate Tables'!$P$23</f>
        <v>985.01</v>
      </c>
      <c r="BF216" s="129">
        <f>'Rate Tables'!$Q$23</f>
        <v>1010.27</v>
      </c>
      <c r="BG216" s="661">
        <f>IF(BF218&lt;=BH220,BF218,BH220)</f>
        <v>0</v>
      </c>
      <c r="BH216" s="136">
        <f>((BC216*BE216)+(BD216*BF216))*BG216</f>
        <v>0</v>
      </c>
      <c r="BI216" s="19"/>
      <c r="BJ216" s="12"/>
      <c r="BK216" s="307"/>
      <c r="BL216" s="349"/>
      <c r="BM216" s="12"/>
      <c r="BN216" s="285"/>
      <c r="BO216" s="15"/>
    </row>
    <row r="217" spans="1:67" x14ac:dyDescent="0.25">
      <c r="A217" s="145"/>
      <c r="B217" s="12"/>
      <c r="C217" s="115"/>
      <c r="D217" s="12"/>
      <c r="E217" s="126"/>
      <c r="F217" s="19"/>
      <c r="G217" s="12"/>
      <c r="H217" s="12"/>
      <c r="I217" s="12"/>
      <c r="J217" s="141">
        <f>IF($BK223&gt;0,1,0)</f>
        <v>0</v>
      </c>
      <c r="K217" s="12">
        <f>IF($BK223=0,1,0)</f>
        <v>1</v>
      </c>
      <c r="L217" s="129">
        <f>'Rate Tables'!$P$19</f>
        <v>910</v>
      </c>
      <c r="M217" s="129">
        <f>'Rate Tables'!$Q$19</f>
        <v>933.34</v>
      </c>
      <c r="N217" s="661">
        <f>ROUNDUP(N221,0)</f>
        <v>0</v>
      </c>
      <c r="O217" s="136">
        <f>((J217*L217)+(K217*M217))*N217</f>
        <v>0</v>
      </c>
      <c r="P217" s="19"/>
      <c r="Q217" s="19"/>
      <c r="R217" s="19"/>
      <c r="S217" s="19"/>
      <c r="T217" s="19"/>
      <c r="U217" s="12"/>
      <c r="V217" s="141">
        <f>IF($BK223&gt;0,1,0)</f>
        <v>0</v>
      </c>
      <c r="W217" s="12">
        <f>IF($BK223=0,1,0)</f>
        <v>1</v>
      </c>
      <c r="X217" s="129">
        <f>'Rate Tables'!$P$21</f>
        <v>946.76</v>
      </c>
      <c r="Y217" s="129">
        <f>'Rate Tables'!$Q$21</f>
        <v>971.04</v>
      </c>
      <c r="Z217" s="661">
        <f>IF(Y218&lt;=AA221,Y218,AA221)</f>
        <v>0</v>
      </c>
      <c r="AA217" s="136">
        <f t="shared" si="0"/>
        <v>0</v>
      </c>
      <c r="AB217" s="20"/>
      <c r="AC217" s="20"/>
      <c r="AD217" s="20"/>
      <c r="AE217" s="20"/>
      <c r="AF217" s="123"/>
      <c r="AG217" s="141">
        <f>IF($BK223&gt;0,1,0)</f>
        <v>0</v>
      </c>
      <c r="AH217" s="12">
        <f>IF($BK223=0,1,0)</f>
        <v>1</v>
      </c>
      <c r="AI217" s="129">
        <f>'Rate Tables'!$P$22</f>
        <v>965.7</v>
      </c>
      <c r="AJ217" s="129">
        <f>'Rate Tables'!$Q$22</f>
        <v>990.46</v>
      </c>
      <c r="AK217" s="661">
        <f>IF(AJ218&lt;=AL221,AJ218,AL221)</f>
        <v>0</v>
      </c>
      <c r="AL217" s="136"/>
      <c r="AM217" s="11"/>
      <c r="AN217" s="19"/>
      <c r="AO217" s="19"/>
      <c r="AP217" s="19"/>
      <c r="AQ217" s="19"/>
      <c r="AR217" s="141">
        <f>IF($BK223&gt;0,1,0)</f>
        <v>0</v>
      </c>
      <c r="AS217" s="12">
        <f>IF($BK223=0,1,0)</f>
        <v>1</v>
      </c>
      <c r="AT217" s="129">
        <f>'Rate Tables'!$P$23</f>
        <v>985.01</v>
      </c>
      <c r="AU217" s="129">
        <f>'Rate Tables'!$Q$23</f>
        <v>1010.27</v>
      </c>
      <c r="AV217" s="661">
        <f>IF(AU218&lt;=AW221,AU218,AW221)</f>
        <v>0</v>
      </c>
      <c r="AW217" s="136">
        <f>((AR217*AT217)+(AS217*AU217))*AV217</f>
        <v>0</v>
      </c>
      <c r="AX217" s="125"/>
      <c r="AY217" s="125"/>
      <c r="AZ217" s="125"/>
      <c r="BA217" s="125"/>
      <c r="BB217" s="125"/>
      <c r="BC217" s="141">
        <f>IF($BK223&gt;0,1,0)</f>
        <v>0</v>
      </c>
      <c r="BD217" s="12">
        <f>IF($BK223=0,1,0)</f>
        <v>1</v>
      </c>
      <c r="BE217" s="129">
        <f>'Rate Tables'!$P$24</f>
        <v>1004.71</v>
      </c>
      <c r="BF217" s="129">
        <f>'Rate Tables'!$Q$24</f>
        <v>1030.47</v>
      </c>
      <c r="BG217" s="661">
        <f>IF(BF218&lt;=BH221,BF218,BH221)</f>
        <v>0</v>
      </c>
      <c r="BH217" s="136">
        <f>((BC217*BE217)+(BD217*BF217))*BG217</f>
        <v>0</v>
      </c>
      <c r="BI217" s="19"/>
      <c r="BJ217" s="12"/>
      <c r="BK217" s="307"/>
      <c r="BL217" s="349"/>
      <c r="BM217" s="12"/>
      <c r="BN217" s="285"/>
      <c r="BO217" s="15"/>
    </row>
    <row r="218" spans="1:67" x14ac:dyDescent="0.25">
      <c r="A218" s="145"/>
      <c r="B218" s="12"/>
      <c r="C218" s="115"/>
      <c r="D218" s="12"/>
      <c r="E218" s="126"/>
      <c r="F218" s="19"/>
      <c r="H218" s="12"/>
      <c r="I218" s="12"/>
      <c r="J218" s="141"/>
      <c r="K218" s="12"/>
      <c r="L218" s="129"/>
      <c r="M218" s="129"/>
      <c r="N218" s="661">
        <f>L206*M206*F206</f>
        <v>0</v>
      </c>
      <c r="O218" s="136"/>
      <c r="P218" s="19"/>
      <c r="Q218" s="19"/>
      <c r="R218" s="19"/>
      <c r="S218" s="19"/>
      <c r="T218" s="19"/>
      <c r="U218" s="12"/>
      <c r="V218" s="141"/>
      <c r="W218" s="12"/>
      <c r="X218" s="653" t="s">
        <v>581</v>
      </c>
      <c r="Y218" s="653">
        <f>BK215-N214-N215-N216-N217</f>
        <v>9</v>
      </c>
      <c r="Z218" s="731">
        <f>X206*Y206*F206</f>
        <v>0</v>
      </c>
      <c r="AA218" s="655">
        <f>ROUNDUP(Z218,0)</f>
        <v>0</v>
      </c>
      <c r="AB218" s="20"/>
      <c r="AC218" s="20"/>
      <c r="AD218" s="20"/>
      <c r="AE218" s="20"/>
      <c r="AF218" s="123"/>
      <c r="AG218" s="141"/>
      <c r="AH218" s="12"/>
      <c r="AI218" s="653" t="s">
        <v>581</v>
      </c>
      <c r="AJ218" s="653">
        <f>Y218-Z214-Z215-Z216-Z217</f>
        <v>0</v>
      </c>
      <c r="AK218" s="731">
        <f>AI206*AJ206*F206</f>
        <v>0</v>
      </c>
      <c r="AL218" s="655">
        <f>ROUNDUP(AK218,0)</f>
        <v>0</v>
      </c>
      <c r="AM218" s="11"/>
      <c r="AN218" s="19"/>
      <c r="AO218" s="19"/>
      <c r="AP218" s="19"/>
      <c r="AQ218" s="19"/>
      <c r="AR218" s="141"/>
      <c r="AS218" s="12"/>
      <c r="AT218" s="653" t="s">
        <v>581</v>
      </c>
      <c r="AU218" s="653">
        <f>AJ218-AK214-AK215-AK216-AK217</f>
        <v>0</v>
      </c>
      <c r="AV218" s="731">
        <f>AT206*AU206*F206</f>
        <v>0</v>
      </c>
      <c r="AW218" s="655">
        <f>ROUNDUP(AV218,0)</f>
        <v>0</v>
      </c>
      <c r="AX218" s="119"/>
      <c r="AY218" s="119"/>
      <c r="AZ218" s="119"/>
      <c r="BA218" s="119"/>
      <c r="BB218" s="119"/>
      <c r="BC218" s="141"/>
      <c r="BD218" s="12"/>
      <c r="BE218" s="653" t="s">
        <v>581</v>
      </c>
      <c r="BF218" s="653">
        <f>AU218-AV214-AV215-AV216-AV217</f>
        <v>0</v>
      </c>
      <c r="BG218" s="731">
        <f>BE206*BF206*F206</f>
        <v>0</v>
      </c>
      <c r="BH218" s="655">
        <f>ROUNDUP(BG218,0)</f>
        <v>0</v>
      </c>
      <c r="BI218" s="19"/>
      <c r="BJ218" s="12"/>
      <c r="BK218" s="307"/>
      <c r="BL218" s="349"/>
      <c r="BM218" s="12"/>
      <c r="BN218" s="285"/>
      <c r="BO218" s="15"/>
    </row>
    <row r="219" spans="1:67" x14ac:dyDescent="0.25">
      <c r="A219" s="145"/>
      <c r="B219" s="12"/>
      <c r="C219" s="115"/>
      <c r="D219" s="12"/>
      <c r="E219" s="126"/>
      <c r="F219" s="19"/>
      <c r="G219" s="729"/>
      <c r="H219" s="12"/>
      <c r="I219" s="12"/>
      <c r="J219" s="141"/>
      <c r="K219" s="12"/>
      <c r="L219" s="129"/>
      <c r="M219" s="129"/>
      <c r="N219" s="661">
        <f>L208*M208*F208</f>
        <v>0</v>
      </c>
      <c r="O219" s="136"/>
      <c r="P219" s="19"/>
      <c r="Q219" s="19"/>
      <c r="R219" s="19"/>
      <c r="S219" s="19"/>
      <c r="T219" s="19"/>
      <c r="U219" s="12"/>
      <c r="V219" s="141"/>
      <c r="W219" s="12"/>
      <c r="X219" s="129"/>
      <c r="Y219" s="129"/>
      <c r="Z219" s="731">
        <f>X208*Y208*F208</f>
        <v>0</v>
      </c>
      <c r="AA219" s="732">
        <f>ROUNDUP(Z219,0)</f>
        <v>0</v>
      </c>
      <c r="AB219" s="20"/>
      <c r="AC219" s="20"/>
      <c r="AD219" s="20"/>
      <c r="AE219" s="20"/>
      <c r="AF219" s="123"/>
      <c r="AG219" s="141"/>
      <c r="AH219" s="12"/>
      <c r="AI219" s="129"/>
      <c r="AJ219" s="129"/>
      <c r="AK219" s="731">
        <f>AI208*AJ208*F208</f>
        <v>0</v>
      </c>
      <c r="AL219" s="732">
        <f>ROUNDUP(AK219,0)</f>
        <v>0</v>
      </c>
      <c r="AM219" s="11"/>
      <c r="AN219" s="19"/>
      <c r="AO219" s="19"/>
      <c r="AP219" s="19"/>
      <c r="AQ219" s="19"/>
      <c r="AR219" s="141"/>
      <c r="AS219" s="12"/>
      <c r="AT219" s="129"/>
      <c r="AU219" s="129"/>
      <c r="AV219" s="731">
        <f>AT208*AU208*F208</f>
        <v>0</v>
      </c>
      <c r="AW219" s="732">
        <f>ROUNDUP(AV219,0)</f>
        <v>0</v>
      </c>
      <c r="AX219" s="119"/>
      <c r="AY219" s="119"/>
      <c r="AZ219" s="119"/>
      <c r="BA219" s="119"/>
      <c r="BB219" s="119"/>
      <c r="BC219" s="141"/>
      <c r="BD219" s="12"/>
      <c r="BE219" s="129"/>
      <c r="BF219" s="129"/>
      <c r="BG219" s="731">
        <f>BE208*BF208*F208</f>
        <v>0</v>
      </c>
      <c r="BH219" s="732">
        <f>ROUNDUP(BG219,0)</f>
        <v>0</v>
      </c>
      <c r="BI219" s="19"/>
      <c r="BJ219" s="12"/>
      <c r="BK219" s="307"/>
      <c r="BL219" s="349"/>
      <c r="BM219" s="12"/>
      <c r="BN219" s="285"/>
      <c r="BO219" s="15"/>
    </row>
    <row r="220" spans="1:67" x14ac:dyDescent="0.25">
      <c r="A220" s="145"/>
      <c r="B220" s="12"/>
      <c r="C220" s="115"/>
      <c r="D220" s="12"/>
      <c r="E220" s="126"/>
      <c r="F220" s="19"/>
      <c r="G220" s="729" t="s">
        <v>585</v>
      </c>
      <c r="H220" s="12"/>
      <c r="I220" s="12"/>
      <c r="J220" s="141"/>
      <c r="K220" s="12"/>
      <c r="L220" s="129"/>
      <c r="M220" s="129"/>
      <c r="N220" s="661">
        <f>L210*M210*F210</f>
        <v>0</v>
      </c>
      <c r="O220" s="136"/>
      <c r="P220" s="19"/>
      <c r="Q220" s="19"/>
      <c r="R220" s="19"/>
      <c r="S220" s="19"/>
      <c r="T220" s="19"/>
      <c r="U220" s="12"/>
      <c r="V220" s="141"/>
      <c r="W220" s="12"/>
      <c r="X220" s="129"/>
      <c r="Y220" s="129"/>
      <c r="Z220" s="731">
        <f>X210*Y210*F210</f>
        <v>8.4839000000000002</v>
      </c>
      <c r="AA220" s="732">
        <f>ROUNDUP(Z220,0)</f>
        <v>9</v>
      </c>
      <c r="AB220" s="20"/>
      <c r="AC220" s="20"/>
      <c r="AD220" s="20"/>
      <c r="AE220" s="20"/>
      <c r="AF220" s="123"/>
      <c r="AG220" s="141"/>
      <c r="AH220" s="12"/>
      <c r="AI220" s="129"/>
      <c r="AJ220" s="129"/>
      <c r="AK220" s="731">
        <f>AI210*AJ210*F210</f>
        <v>0.5161</v>
      </c>
      <c r="AL220" s="732">
        <f>ROUNDUP(AK220,0)</f>
        <v>1</v>
      </c>
      <c r="AM220" s="11"/>
      <c r="AN220" s="19"/>
      <c r="AO220" s="19"/>
      <c r="AP220" s="19"/>
      <c r="AQ220" s="19"/>
      <c r="AR220" s="141"/>
      <c r="AS220" s="12"/>
      <c r="AT220" s="129"/>
      <c r="AU220" s="129"/>
      <c r="AV220" s="731">
        <f>AT210*AU210*F210</f>
        <v>0</v>
      </c>
      <c r="AW220" s="732">
        <f>ROUNDUP(AV220,0)</f>
        <v>0</v>
      </c>
      <c r="AX220" s="119"/>
      <c r="AY220" s="119"/>
      <c r="AZ220" s="119"/>
      <c r="BA220" s="119"/>
      <c r="BB220" s="119"/>
      <c r="BC220" s="141"/>
      <c r="BD220" s="12"/>
      <c r="BE220" s="129"/>
      <c r="BF220" s="129"/>
      <c r="BG220" s="731">
        <f>BE210*BF210*F210</f>
        <v>0</v>
      </c>
      <c r="BH220" s="732">
        <f>ROUNDUP(BG220,0)</f>
        <v>0</v>
      </c>
      <c r="BI220" s="19"/>
      <c r="BJ220" s="12"/>
      <c r="BK220" s="307"/>
      <c r="BL220" s="349"/>
      <c r="BM220" s="12"/>
      <c r="BN220" s="285"/>
      <c r="BO220" s="15"/>
    </row>
    <row r="221" spans="1:67" ht="26.25" x14ac:dyDescent="0.25">
      <c r="A221" s="145"/>
      <c r="B221" s="12"/>
      <c r="C221" s="259" t="s">
        <v>606</v>
      </c>
      <c r="D221" s="12"/>
      <c r="E221" s="126"/>
      <c r="F221" s="19"/>
      <c r="G221" s="12"/>
      <c r="H221" s="12"/>
      <c r="I221" s="12"/>
      <c r="J221" s="12"/>
      <c r="K221" s="12"/>
      <c r="L221" s="12"/>
      <c r="M221" s="12"/>
      <c r="N221" s="734">
        <f>L212*M212*F212</f>
        <v>0</v>
      </c>
      <c r="O221" s="18"/>
      <c r="P221" s="19"/>
      <c r="Q221" s="19"/>
      <c r="R221" s="19"/>
      <c r="S221" s="19"/>
      <c r="T221" s="19"/>
      <c r="U221" s="12"/>
      <c r="V221" s="122"/>
      <c r="W221" s="122"/>
      <c r="X221" s="122"/>
      <c r="Y221" s="119"/>
      <c r="Z221" s="733">
        <f>X212*Y212*F212</f>
        <v>0</v>
      </c>
      <c r="AA221" s="659">
        <f>ROUNDUP(Z221,0)</f>
        <v>0</v>
      </c>
      <c r="AB221" s="20"/>
      <c r="AC221" s="20"/>
      <c r="AD221" s="20"/>
      <c r="AE221" s="20"/>
      <c r="AF221" s="123"/>
      <c r="AG221" s="122"/>
      <c r="AH221" s="122"/>
      <c r="AI221" s="122"/>
      <c r="AJ221" s="122"/>
      <c r="AK221" s="733">
        <f>AI212*AJ212*F212</f>
        <v>0</v>
      </c>
      <c r="AL221" s="659">
        <f>ROUNDUP(AK221,0)</f>
        <v>0</v>
      </c>
      <c r="AM221" s="11"/>
      <c r="AN221" s="19"/>
      <c r="AO221" s="19"/>
      <c r="AP221" s="19"/>
      <c r="AQ221" s="19"/>
      <c r="AR221" s="122"/>
      <c r="AS221" s="122"/>
      <c r="AT221" s="122"/>
      <c r="AU221" s="122"/>
      <c r="AV221" s="733">
        <f>AT212*AU212*F212</f>
        <v>0</v>
      </c>
      <c r="AW221" s="659">
        <f>ROUNDUP(AV221,0)</f>
        <v>0</v>
      </c>
      <c r="AX221" s="119"/>
      <c r="AY221" s="119"/>
      <c r="AZ221" s="119"/>
      <c r="BA221" s="119"/>
      <c r="BB221" s="119"/>
      <c r="BC221" s="122"/>
      <c r="BD221" s="122"/>
      <c r="BE221" s="122"/>
      <c r="BF221" s="122"/>
      <c r="BG221" s="733">
        <f>BE212*BF212*F212</f>
        <v>0</v>
      </c>
      <c r="BH221" s="659">
        <f>ROUNDUP(BG221,0)</f>
        <v>0</v>
      </c>
      <c r="BI221" s="19"/>
      <c r="BJ221" s="12"/>
      <c r="BK221" s="748" t="s">
        <v>411</v>
      </c>
      <c r="BL221" s="352" t="str">
        <f>Personnel!W68</f>
        <v>None</v>
      </c>
      <c r="BM221" s="276" t="s">
        <v>117</v>
      </c>
      <c r="BN221" s="285">
        <f>(N223+N225+N227+N229+W223+W225+W227+W229+AJ223+AJ225+AJ227+AJ229+AU223+AU225+AU227+AU229+BF223+BF225+BF227+BF229)*BI223</f>
        <v>0</v>
      </c>
      <c r="BO221" s="15"/>
    </row>
    <row r="222" spans="1:67" x14ac:dyDescent="0.25">
      <c r="A222" s="145"/>
      <c r="B222" s="12"/>
      <c r="C222" s="117" t="s">
        <v>30</v>
      </c>
      <c r="D222" s="12"/>
      <c r="E222" s="13" t="s">
        <v>84</v>
      </c>
      <c r="F222" s="13" t="s">
        <v>42</v>
      </c>
      <c r="G222" s="13" t="s">
        <v>41</v>
      </c>
      <c r="H222" s="65" t="s">
        <v>77</v>
      </c>
      <c r="I222" s="137" t="s">
        <v>101</v>
      </c>
      <c r="J222" s="139" t="s">
        <v>102</v>
      </c>
      <c r="K222" s="127" t="s">
        <v>98</v>
      </c>
      <c r="L222" s="13" t="s">
        <v>100</v>
      </c>
      <c r="M222" s="13" t="s">
        <v>82</v>
      </c>
      <c r="N222" s="13" t="s">
        <v>31</v>
      </c>
      <c r="O222" s="14" t="s">
        <v>69</v>
      </c>
      <c r="P222" s="13" t="s">
        <v>72</v>
      </c>
      <c r="Q222" s="13" t="s">
        <v>103</v>
      </c>
      <c r="R222" s="65" t="s">
        <v>77</v>
      </c>
      <c r="S222" s="137" t="s">
        <v>101</v>
      </c>
      <c r="T222" s="139" t="s">
        <v>102</v>
      </c>
      <c r="U222" s="12" t="s">
        <v>98</v>
      </c>
      <c r="V222" s="13" t="s">
        <v>100</v>
      </c>
      <c r="W222" s="13" t="s">
        <v>32</v>
      </c>
      <c r="X222" s="13" t="s">
        <v>69</v>
      </c>
      <c r="Y222" s="13"/>
      <c r="Z222" s="146"/>
      <c r="AA222" s="18"/>
      <c r="AB222" s="13" t="s">
        <v>72</v>
      </c>
      <c r="AC222" s="13" t="s">
        <v>103</v>
      </c>
      <c r="AD222" s="13"/>
      <c r="AE222" s="65" t="s">
        <v>77</v>
      </c>
      <c r="AF222" s="137" t="s">
        <v>101</v>
      </c>
      <c r="AG222" s="139" t="s">
        <v>102</v>
      </c>
      <c r="AH222" s="12" t="s">
        <v>98</v>
      </c>
      <c r="AI222" s="13" t="s">
        <v>100</v>
      </c>
      <c r="AJ222" s="13" t="s">
        <v>33</v>
      </c>
      <c r="AK222" s="13" t="s">
        <v>69</v>
      </c>
      <c r="AL222" s="18"/>
      <c r="AM222" s="13" t="s">
        <v>72</v>
      </c>
      <c r="AN222" s="13" t="s">
        <v>103</v>
      </c>
      <c r="AO222" s="13"/>
      <c r="AP222" s="65" t="s">
        <v>77</v>
      </c>
      <c r="AQ222" s="137" t="s">
        <v>101</v>
      </c>
      <c r="AR222" s="139" t="s">
        <v>102</v>
      </c>
      <c r="AS222" s="12" t="s">
        <v>98</v>
      </c>
      <c r="AT222" s="13" t="s">
        <v>100</v>
      </c>
      <c r="AU222" s="13" t="s">
        <v>33</v>
      </c>
      <c r="AV222" s="13" t="s">
        <v>69</v>
      </c>
      <c r="AW222" s="18"/>
      <c r="AX222" s="13" t="s">
        <v>72</v>
      </c>
      <c r="AY222" s="13" t="s">
        <v>103</v>
      </c>
      <c r="AZ222" s="13"/>
      <c r="BA222" s="65" t="s">
        <v>77</v>
      </c>
      <c r="BB222" s="137" t="s">
        <v>101</v>
      </c>
      <c r="BC222" s="139" t="s">
        <v>102</v>
      </c>
      <c r="BD222" s="12" t="s">
        <v>98</v>
      </c>
      <c r="BE222" s="13" t="s">
        <v>100</v>
      </c>
      <c r="BF222" s="13" t="s">
        <v>33</v>
      </c>
      <c r="BG222" s="13" t="s">
        <v>69</v>
      </c>
      <c r="BH222" s="18"/>
      <c r="BI222" s="13" t="s">
        <v>159</v>
      </c>
      <c r="BJ222" s="12"/>
      <c r="BK222" s="276" t="s">
        <v>95</v>
      </c>
      <c r="BL222" s="349"/>
      <c r="BM222" s="276" t="s">
        <v>186</v>
      </c>
      <c r="BN222" s="285">
        <f>BN221*'Rate Tables'!P$8</f>
        <v>0</v>
      </c>
      <c r="BO222" s="15"/>
    </row>
    <row r="223" spans="1:67" x14ac:dyDescent="0.25">
      <c r="A223" s="145"/>
      <c r="B223" s="12"/>
      <c r="C223" s="115"/>
      <c r="D223" s="12"/>
      <c r="E223" s="211">
        <f>IF(H250&lt;=H251,H250,H251)</f>
        <v>0</v>
      </c>
      <c r="F223" s="19">
        <f>IF($D$4=2022,1,0)</f>
        <v>0</v>
      </c>
      <c r="G223" s="178">
        <f>IF($B250="Yes",$C$5,$I249)</f>
        <v>12</v>
      </c>
      <c r="H223" s="36">
        <f>H206</f>
        <v>3</v>
      </c>
      <c r="I223" s="138">
        <f>VLOOKUP(J206,'Lookup Tables'!$AB$22:$AC$31,2,FALSE)</f>
        <v>32</v>
      </c>
      <c r="J223" s="140">
        <f>VLOOKUP(U206,'Lookup Tables'!$AB$32:$AC$41,2,FALSE)</f>
        <v>33</v>
      </c>
      <c r="K223" s="123">
        <f>E223-J223</f>
        <v>-33</v>
      </c>
      <c r="L223" s="12">
        <f>IF(K223&gt;0,1,0)</f>
        <v>0</v>
      </c>
      <c r="M223" s="119">
        <f>M206</f>
        <v>0</v>
      </c>
      <c r="N223" s="15">
        <f>((((('Rate Tables'!B73*9)*0.02778)/5)*K223)*L223)*F223*M223*BK225</f>
        <v>0</v>
      </c>
      <c r="O223" s="28">
        <f>O206</f>
        <v>12</v>
      </c>
      <c r="P223" s="8">
        <f>IF(O223&lt;0,O223*0,1)*O223</f>
        <v>12</v>
      </c>
      <c r="Q223" s="123">
        <f>(E223-K223*F223*L223*M223)</f>
        <v>0</v>
      </c>
      <c r="R223" s="36">
        <f>S206</f>
        <v>3</v>
      </c>
      <c r="S223" s="138">
        <f>VLOOKUP(U206,'Lookup Tables'!$AB$22:$AC$31,2,FALSE)</f>
        <v>32</v>
      </c>
      <c r="T223" s="140">
        <f>VLOOKUP(AF206,'Lookup Tables'!$AB$32:$AC$41,2,FALSE)</f>
        <v>33</v>
      </c>
      <c r="U223" s="129">
        <f>Q223-T223</f>
        <v>-33</v>
      </c>
      <c r="V223" s="12">
        <f>IF(U223&gt;0,1,0)</f>
        <v>0</v>
      </c>
      <c r="W223" s="15">
        <f>((('Rate Tables'!C73*9)*0.02778)/5)*U223*F223*V223*BK225</f>
        <v>0</v>
      </c>
      <c r="X223" s="8">
        <f>AA206</f>
        <v>2</v>
      </c>
      <c r="Y223" s="12"/>
      <c r="Z223" s="119"/>
      <c r="AA223" s="18"/>
      <c r="AB223" s="8">
        <f>IF(X223&lt;0,X223*0,1)*X223</f>
        <v>2</v>
      </c>
      <c r="AC223" s="123">
        <f>Q223-(U223*V223)</f>
        <v>0</v>
      </c>
      <c r="AD223" s="12"/>
      <c r="AE223" s="36">
        <f>AE206</f>
        <v>1</v>
      </c>
      <c r="AF223" s="138">
        <f>VLOOKUP(AF206,'Lookup Tables'!$AB$22:$AC$31,2,FALSE)</f>
        <v>32</v>
      </c>
      <c r="AG223" s="140">
        <f>VLOOKUP(AQ206,'Lookup Tables'!$AB$32:$AC$41,2,FALSE)</f>
        <v>0</v>
      </c>
      <c r="AH223" s="125">
        <f>AC223-AG223</f>
        <v>0</v>
      </c>
      <c r="AI223" s="12">
        <f>IF(AH223&gt;0,1,0)</f>
        <v>0</v>
      </c>
      <c r="AJ223" s="15">
        <f>((('Rate Tables'!D73*9)*0.02778)/5)*AH223*AI223*F223*BK225</f>
        <v>0</v>
      </c>
      <c r="AK223" s="8">
        <f>AL206</f>
        <v>0</v>
      </c>
      <c r="AL223" s="18"/>
      <c r="AM223" s="8">
        <f>IF(AK223&lt;0,AK223*0,1)*AK223</f>
        <v>0</v>
      </c>
      <c r="AN223" s="123">
        <f>AC223-(AH223*AI223)</f>
        <v>0</v>
      </c>
      <c r="AO223" s="123"/>
      <c r="AP223" s="36">
        <f>AP206</f>
        <v>3</v>
      </c>
      <c r="AQ223" s="138">
        <f>VLOOKUP(AQ206,'Lookup Tables'!$AB$22:$AC$31,2,FALSE)</f>
        <v>0</v>
      </c>
      <c r="AR223" s="140">
        <f>VLOOKUP(BB206,'Lookup Tables'!$AB$32:$AC$41,2,FALSE)</f>
        <v>0</v>
      </c>
      <c r="AS223" s="125">
        <f>AN223-AR223</f>
        <v>0</v>
      </c>
      <c r="AT223" s="12">
        <f>IF(AS223&gt;0,1,0)</f>
        <v>0</v>
      </c>
      <c r="AU223" s="15">
        <f>((('Rate Tables'!E73*9)*0.02778)/5)*AS223*AT223*F223*BK225</f>
        <v>0</v>
      </c>
      <c r="AV223" s="8">
        <f>AW206</f>
        <v>0</v>
      </c>
      <c r="AW223" s="18"/>
      <c r="AX223" s="8">
        <f>IF(AV223&lt;0,AV223*0,1)*AV223</f>
        <v>0</v>
      </c>
      <c r="AY223" s="123">
        <f>AN223-(AS223*AT223)</f>
        <v>0</v>
      </c>
      <c r="AZ223" s="123"/>
      <c r="BA223" s="36">
        <f>BA206</f>
        <v>3</v>
      </c>
      <c r="BB223" s="138">
        <f>VLOOKUP(BB206,'Lookup Tables'!$AB$22:$AC$31,2,FALSE)</f>
        <v>0</v>
      </c>
      <c r="BC223" s="140">
        <v>0</v>
      </c>
      <c r="BD223" s="125">
        <f>AY223-BC223</f>
        <v>0</v>
      </c>
      <c r="BE223" s="12">
        <f>IF(BD223&gt;0,1,0)</f>
        <v>0</v>
      </c>
      <c r="BF223" s="15">
        <f>((('Rate Tables'!F73*9)*0.02778)/5)*BD223*BE223*F223*BK225</f>
        <v>0</v>
      </c>
      <c r="BG223" s="8">
        <f>BH206</f>
        <v>0</v>
      </c>
      <c r="BH223" s="18"/>
      <c r="BI223" s="19">
        <f>VLOOKUP(B202,'Lookup Tables'!$AK$22:$AM$24,2,0)</f>
        <v>0</v>
      </c>
      <c r="BJ223" s="12"/>
      <c r="BK223" s="308">
        <f>VLOOKUP(BL221,'Lookup Tables'!$AF$22:$AG$24,2,FALSE)</f>
        <v>0</v>
      </c>
      <c r="BL223" s="350"/>
      <c r="BM223" s="12"/>
      <c r="BN223" s="285"/>
      <c r="BO223" s="15"/>
    </row>
    <row r="224" spans="1:67" x14ac:dyDescent="0.25">
      <c r="A224" s="145"/>
      <c r="B224" s="12"/>
      <c r="C224" s="117" t="s">
        <v>597</v>
      </c>
      <c r="D224" s="12"/>
      <c r="E224" s="13" t="s">
        <v>84</v>
      </c>
      <c r="F224" s="13" t="s">
        <v>42</v>
      </c>
      <c r="G224" s="13" t="s">
        <v>41</v>
      </c>
      <c r="H224" s="65" t="s">
        <v>77</v>
      </c>
      <c r="I224" s="137" t="s">
        <v>105</v>
      </c>
      <c r="J224" s="139" t="s">
        <v>106</v>
      </c>
      <c r="K224" s="127" t="s">
        <v>99</v>
      </c>
      <c r="L224" s="13" t="s">
        <v>100</v>
      </c>
      <c r="M224" s="13" t="s">
        <v>82</v>
      </c>
      <c r="N224" s="13" t="s">
        <v>32</v>
      </c>
      <c r="O224" s="14" t="s">
        <v>69</v>
      </c>
      <c r="P224" s="13" t="s">
        <v>72</v>
      </c>
      <c r="Q224" s="13" t="s">
        <v>103</v>
      </c>
      <c r="R224" s="65" t="s">
        <v>77</v>
      </c>
      <c r="S224" s="137" t="s">
        <v>105</v>
      </c>
      <c r="T224" s="139" t="s">
        <v>106</v>
      </c>
      <c r="U224" s="12" t="s">
        <v>98</v>
      </c>
      <c r="V224" s="13" t="s">
        <v>100</v>
      </c>
      <c r="W224" s="13" t="s">
        <v>33</v>
      </c>
      <c r="X224" s="13" t="s">
        <v>69</v>
      </c>
      <c r="Y224" s="13"/>
      <c r="Z224" s="13"/>
      <c r="AA224" s="18"/>
      <c r="AB224" s="13" t="s">
        <v>72</v>
      </c>
      <c r="AC224" s="13" t="s">
        <v>104</v>
      </c>
      <c r="AD224" s="13"/>
      <c r="AE224" s="65" t="s">
        <v>77</v>
      </c>
      <c r="AF224" s="137" t="s">
        <v>105</v>
      </c>
      <c r="AG224" s="139" t="s">
        <v>106</v>
      </c>
      <c r="AH224" s="12" t="s">
        <v>98</v>
      </c>
      <c r="AI224" s="13" t="s">
        <v>100</v>
      </c>
      <c r="AJ224" s="13" t="s">
        <v>34</v>
      </c>
      <c r="AK224" s="13" t="s">
        <v>69</v>
      </c>
      <c r="AL224" s="18"/>
      <c r="AM224" s="13" t="s">
        <v>72</v>
      </c>
      <c r="AN224" s="13" t="s">
        <v>104</v>
      </c>
      <c r="AO224" s="13"/>
      <c r="AP224" s="65" t="s">
        <v>77</v>
      </c>
      <c r="AQ224" s="137" t="s">
        <v>105</v>
      </c>
      <c r="AR224" s="139" t="s">
        <v>106</v>
      </c>
      <c r="AS224" s="12" t="s">
        <v>98</v>
      </c>
      <c r="AT224" s="13" t="s">
        <v>100</v>
      </c>
      <c r="AU224" s="13" t="s">
        <v>34</v>
      </c>
      <c r="AV224" s="13" t="s">
        <v>69</v>
      </c>
      <c r="AW224" s="18"/>
      <c r="AX224" s="13" t="s">
        <v>72</v>
      </c>
      <c r="AY224" s="13" t="s">
        <v>104</v>
      </c>
      <c r="AZ224" s="13"/>
      <c r="BA224" s="65" t="s">
        <v>77</v>
      </c>
      <c r="BB224" s="137" t="s">
        <v>105</v>
      </c>
      <c r="BC224" s="139" t="s">
        <v>106</v>
      </c>
      <c r="BD224" s="12" t="s">
        <v>98</v>
      </c>
      <c r="BE224" s="13" t="s">
        <v>100</v>
      </c>
      <c r="BF224" s="13" t="s">
        <v>34</v>
      </c>
      <c r="BG224" s="13" t="s">
        <v>69</v>
      </c>
      <c r="BH224" s="18"/>
      <c r="BI224" s="13"/>
      <c r="BJ224" s="12"/>
      <c r="BK224" s="227" t="s">
        <v>126</v>
      </c>
      <c r="BL224" s="349" t="s">
        <v>643</v>
      </c>
      <c r="BM224" s="276" t="s">
        <v>187</v>
      </c>
      <c r="BN224" s="285">
        <f>(((O231+O232+O233+O234+AA231+AA232+AA233+AA234+AL231+AL232+AL233+AL234+AW231+AW232+AW233+AW234+BH231+BH232+BH233+BH234)*BI231)*BN225)*BL227</f>
        <v>0</v>
      </c>
      <c r="BO224" s="15"/>
    </row>
    <row r="225" spans="1:67" x14ac:dyDescent="0.25">
      <c r="A225" s="145"/>
      <c r="B225" s="12"/>
      <c r="C225" s="115"/>
      <c r="D225" s="12"/>
      <c r="E225" s="128">
        <f>E223</f>
        <v>0</v>
      </c>
      <c r="F225" s="19">
        <f>IF($D$4=2023,1,0)</f>
        <v>0</v>
      </c>
      <c r="G225" s="178">
        <f>IF($B250="Yes",$C$5,$I249)</f>
        <v>12</v>
      </c>
      <c r="H225" s="36">
        <f>H208</f>
        <v>3</v>
      </c>
      <c r="I225" s="138">
        <f>VLOOKUP(J208,'Lookup Tables'!$AB$22:$AC$31,2,FALSE)</f>
        <v>32</v>
      </c>
      <c r="J225" s="140">
        <f>VLOOKUP(U208,'Lookup Tables'!$AB$32:$AC$41,2,FALSE)</f>
        <v>33</v>
      </c>
      <c r="K225" s="123">
        <f>E225-J225</f>
        <v>-33</v>
      </c>
      <c r="L225" s="12">
        <f>IF(K225&gt;0,1,0)</f>
        <v>0</v>
      </c>
      <c r="M225" s="119">
        <f>M208</f>
        <v>0</v>
      </c>
      <c r="N225" s="15">
        <f>((((('Rate Tables'!C73*9)*0.02778)/5)*K225)*L225)*F225*M225*BK225</f>
        <v>0</v>
      </c>
      <c r="O225" s="28">
        <f>O208</f>
        <v>12</v>
      </c>
      <c r="P225" s="8">
        <f>IF(O225&lt;0,O225*0,1)*O225</f>
        <v>12</v>
      </c>
      <c r="Q225" s="123">
        <f>(E225-K225*F225*L225*M225)</f>
        <v>0</v>
      </c>
      <c r="R225" s="36">
        <f>S208</f>
        <v>3</v>
      </c>
      <c r="S225" s="138">
        <f>VLOOKUP(U208,'Lookup Tables'!$AB$22:$AC$31,2,FALSE)</f>
        <v>32</v>
      </c>
      <c r="T225" s="140">
        <f>VLOOKUP(AF208,'Lookup Tables'!$AB$32:$AC$41,2,FALSE)</f>
        <v>33</v>
      </c>
      <c r="U225" s="129">
        <f>Q225-T225</f>
        <v>-33</v>
      </c>
      <c r="V225" s="12">
        <f>IF(U225&gt;0,1,0)</f>
        <v>0</v>
      </c>
      <c r="W225" s="15">
        <f>((('Rate Tables'!D73*9)*0.02778)/5)*U225*F225*V225*BK225</f>
        <v>0</v>
      </c>
      <c r="X225" s="8">
        <f>AA208</f>
        <v>2</v>
      </c>
      <c r="Y225" s="12"/>
      <c r="Z225" s="119"/>
      <c r="AA225" s="18"/>
      <c r="AB225" s="8">
        <f>IF(X225&lt;0,X225*0,1)*X225</f>
        <v>2</v>
      </c>
      <c r="AC225" s="123">
        <f>Q225-(U225*V225)</f>
        <v>0</v>
      </c>
      <c r="AD225" s="12"/>
      <c r="AE225" s="36">
        <f>AE208</f>
        <v>1</v>
      </c>
      <c r="AF225" s="138">
        <f>VLOOKUP(AF208,'Lookup Tables'!$AB$22:$AC$31,2,FALSE)</f>
        <v>32</v>
      </c>
      <c r="AG225" s="140">
        <f>VLOOKUP(AQ208,'Lookup Tables'!$AB$32:$AC$41,2,FALSE)</f>
        <v>0</v>
      </c>
      <c r="AH225" s="125">
        <f>AC225-AG225</f>
        <v>0</v>
      </c>
      <c r="AI225" s="12">
        <f>IF(AH225&gt;0,1,0)</f>
        <v>0</v>
      </c>
      <c r="AJ225" s="15">
        <f>((('Rate Tables'!E73*9)*0.02778)/5)*AH225*AI225*F225*BK225</f>
        <v>0</v>
      </c>
      <c r="AK225" s="8">
        <f>AL208</f>
        <v>0</v>
      </c>
      <c r="AL225" s="18"/>
      <c r="AM225" s="8">
        <f>IF(AK225&lt;0,AK225*0,1)*AK225</f>
        <v>0</v>
      </c>
      <c r="AN225" s="123">
        <f>AC225-(AH225*AI225)</f>
        <v>0</v>
      </c>
      <c r="AO225" s="12"/>
      <c r="AP225" s="36">
        <f>AP208</f>
        <v>3</v>
      </c>
      <c r="AQ225" s="138">
        <f>VLOOKUP(AQ208,'Lookup Tables'!$AB$22:$AC$31,2,FALSE)</f>
        <v>0</v>
      </c>
      <c r="AR225" s="140">
        <f>VLOOKUP(BB208,'Lookup Tables'!$AB$32:$AC$41,2,FALSE)</f>
        <v>0</v>
      </c>
      <c r="AS225" s="125">
        <f>AN225-AR225</f>
        <v>0</v>
      </c>
      <c r="AT225" s="12">
        <f>IF(AS225&gt;0,1,0)</f>
        <v>0</v>
      </c>
      <c r="AU225" s="15">
        <f>((('Rate Tables'!F73*9)*0.02778)/5)*AS225*AT225*F225*BK225</f>
        <v>0</v>
      </c>
      <c r="AV225" s="8">
        <f>AW208</f>
        <v>0</v>
      </c>
      <c r="AW225" s="18"/>
      <c r="AX225" s="8">
        <f>IF(AV225&lt;0,AV225*0,1)*AV225</f>
        <v>0</v>
      </c>
      <c r="AY225" s="123">
        <f>AN225-(AS225*AT225)</f>
        <v>0</v>
      </c>
      <c r="AZ225" s="12"/>
      <c r="BA225" s="36">
        <f>BA208</f>
        <v>3</v>
      </c>
      <c r="BB225" s="138">
        <f>VLOOKUP(BB208,'Lookup Tables'!$AB$22:$AC$31,2,FALSE)</f>
        <v>0</v>
      </c>
      <c r="BC225" s="140">
        <v>0</v>
      </c>
      <c r="BD225" s="125">
        <f>AY225-BC225</f>
        <v>0</v>
      </c>
      <c r="BE225" s="12">
        <f>IF(BD225&gt;0,1,0)</f>
        <v>0</v>
      </c>
      <c r="BF225" s="15">
        <f>((('Rate Tables'!G73*9)*0.02778)/5)*BD225*BE225*F225*BK225</f>
        <v>0</v>
      </c>
      <c r="BG225" s="8">
        <f>BH208</f>
        <v>0</v>
      </c>
      <c r="BH225" s="18"/>
      <c r="BI225" s="19"/>
      <c r="BJ225" s="12"/>
      <c r="BK225" s="319">
        <f>VLOOKUP(BL221,'Lookup Tables'!$AF$26:$AG$28,2,0)</f>
        <v>0</v>
      </c>
      <c r="BL225" s="350" t="s">
        <v>644</v>
      </c>
      <c r="BM225" s="227" t="s">
        <v>582</v>
      </c>
      <c r="BN225" s="663">
        <f>IF(BN221&gt;0,1,0)</f>
        <v>0</v>
      </c>
      <c r="BO225" s="15"/>
    </row>
    <row r="226" spans="1:67" x14ac:dyDescent="0.25">
      <c r="A226" s="145"/>
      <c r="B226" s="12"/>
      <c r="C226" s="117" t="s">
        <v>664</v>
      </c>
      <c r="D226" s="12"/>
      <c r="E226" s="13" t="s">
        <v>84</v>
      </c>
      <c r="F226" s="13" t="s">
        <v>42</v>
      </c>
      <c r="G226" s="13" t="s">
        <v>41</v>
      </c>
      <c r="H226" s="65" t="s">
        <v>77</v>
      </c>
      <c r="I226" s="137" t="s">
        <v>105</v>
      </c>
      <c r="J226" s="139" t="s">
        <v>106</v>
      </c>
      <c r="K226" s="127" t="s">
        <v>99</v>
      </c>
      <c r="L226" s="13" t="s">
        <v>100</v>
      </c>
      <c r="M226" s="13" t="s">
        <v>82</v>
      </c>
      <c r="N226" s="13" t="s">
        <v>32</v>
      </c>
      <c r="O226" s="14" t="s">
        <v>69</v>
      </c>
      <c r="P226" s="13" t="s">
        <v>72</v>
      </c>
      <c r="Q226" s="13" t="s">
        <v>103</v>
      </c>
      <c r="R226" s="65" t="s">
        <v>77</v>
      </c>
      <c r="S226" s="137" t="s">
        <v>105</v>
      </c>
      <c r="T226" s="139" t="s">
        <v>106</v>
      </c>
      <c r="U226" s="12" t="s">
        <v>98</v>
      </c>
      <c r="V226" s="13" t="s">
        <v>100</v>
      </c>
      <c r="W226" s="13" t="s">
        <v>33</v>
      </c>
      <c r="X226" s="13" t="s">
        <v>69</v>
      </c>
      <c r="Y226" s="13"/>
      <c r="Z226" s="13"/>
      <c r="AA226" s="18"/>
      <c r="AB226" s="13" t="s">
        <v>72</v>
      </c>
      <c r="AC226" s="13" t="s">
        <v>104</v>
      </c>
      <c r="AD226" s="13"/>
      <c r="AE226" s="65" t="s">
        <v>77</v>
      </c>
      <c r="AF226" s="137" t="s">
        <v>105</v>
      </c>
      <c r="AG226" s="139" t="s">
        <v>106</v>
      </c>
      <c r="AH226" s="12" t="s">
        <v>98</v>
      </c>
      <c r="AI226" s="13" t="s">
        <v>100</v>
      </c>
      <c r="AJ226" s="13" t="s">
        <v>34</v>
      </c>
      <c r="AK226" s="13" t="s">
        <v>69</v>
      </c>
      <c r="AL226" s="18"/>
      <c r="AM226" s="13" t="s">
        <v>72</v>
      </c>
      <c r="AN226" s="13" t="s">
        <v>104</v>
      </c>
      <c r="AO226" s="13"/>
      <c r="AP226" s="65" t="s">
        <v>77</v>
      </c>
      <c r="AQ226" s="137" t="s">
        <v>105</v>
      </c>
      <c r="AR226" s="139" t="s">
        <v>106</v>
      </c>
      <c r="AS226" s="12" t="s">
        <v>98</v>
      </c>
      <c r="AT226" s="13" t="s">
        <v>100</v>
      </c>
      <c r="AU226" s="13" t="s">
        <v>34</v>
      </c>
      <c r="AV226" s="13" t="s">
        <v>69</v>
      </c>
      <c r="AW226" s="18"/>
      <c r="AX226" s="13" t="s">
        <v>72</v>
      </c>
      <c r="AY226" s="13" t="s">
        <v>104</v>
      </c>
      <c r="AZ226" s="13"/>
      <c r="BA226" s="65" t="s">
        <v>77</v>
      </c>
      <c r="BB226" s="137" t="s">
        <v>105</v>
      </c>
      <c r="BC226" s="139" t="s">
        <v>106</v>
      </c>
      <c r="BD226" s="12" t="s">
        <v>98</v>
      </c>
      <c r="BE226" s="13" t="s">
        <v>100</v>
      </c>
      <c r="BF226" s="13" t="s">
        <v>34</v>
      </c>
      <c r="BG226" s="13" t="s">
        <v>69</v>
      </c>
      <c r="BH226" s="18"/>
      <c r="BI226" s="19"/>
      <c r="BJ226" s="12"/>
      <c r="BK226" s="227"/>
      <c r="BL226" s="358" t="str">
        <f>IF(BL221="50% sum","no",Personnel!W70)</f>
        <v>No</v>
      </c>
      <c r="BM226" s="12"/>
      <c r="BN226" s="285"/>
      <c r="BO226" s="15"/>
    </row>
    <row r="227" spans="1:67" x14ac:dyDescent="0.25">
      <c r="A227" s="145"/>
      <c r="B227" s="12"/>
      <c r="C227" s="115"/>
      <c r="D227" s="12"/>
      <c r="E227" s="128">
        <f>E225</f>
        <v>0</v>
      </c>
      <c r="F227" s="19">
        <f>IF($D$4=2024,1,0)</f>
        <v>1</v>
      </c>
      <c r="G227" s="178">
        <f>IF($B250="Yes",$C$5,$I249)</f>
        <v>12</v>
      </c>
      <c r="H227" s="36">
        <f>H210</f>
        <v>3</v>
      </c>
      <c r="I227" s="138">
        <f>VLOOKUP(J210,'Lookup Tables'!$AB$22:$AC$31,2,FALSE)</f>
        <v>32</v>
      </c>
      <c r="J227" s="140">
        <f>VLOOKUP(U210,'Lookup Tables'!$AB$32:$AC$41,2,FALSE)</f>
        <v>33</v>
      </c>
      <c r="K227" s="123">
        <f>E227-J227</f>
        <v>-33</v>
      </c>
      <c r="L227" s="12">
        <f>IF(K227&gt;0,1,0)</f>
        <v>0</v>
      </c>
      <c r="M227" s="119">
        <f>M210</f>
        <v>0</v>
      </c>
      <c r="N227" s="15">
        <f>((((('Rate Tables'!D73*9)*0.02778)/5)*K227)*L227)*F227*M227*BK225</f>
        <v>0</v>
      </c>
      <c r="O227" s="28">
        <f>O210</f>
        <v>12</v>
      </c>
      <c r="P227" s="8">
        <f>IF(O227&lt;0,O227*0,1)*O227</f>
        <v>12</v>
      </c>
      <c r="Q227" s="123">
        <f>(E227-K227*F227*L227*M227)</f>
        <v>0</v>
      </c>
      <c r="R227" s="36">
        <f>S210</f>
        <v>3</v>
      </c>
      <c r="S227" s="138">
        <f>VLOOKUP(U210,'Lookup Tables'!$AB$22:$AC$31,2,FALSE)</f>
        <v>32</v>
      </c>
      <c r="T227" s="140">
        <f>VLOOKUP(AF210,'Lookup Tables'!$AB$32:$AC$41,2,FALSE)</f>
        <v>33</v>
      </c>
      <c r="U227" s="129">
        <f>Q227-T227</f>
        <v>-33</v>
      </c>
      <c r="V227" s="12">
        <f>IF(U227&gt;0,1,0)</f>
        <v>0</v>
      </c>
      <c r="W227" s="15">
        <f>((('Rate Tables'!E73*9)*0.02778)/5)*U227*F227*V227*BK225</f>
        <v>0</v>
      </c>
      <c r="X227" s="8">
        <f>AA210</f>
        <v>2</v>
      </c>
      <c r="Y227" s="12"/>
      <c r="Z227" s="119"/>
      <c r="AA227" s="18"/>
      <c r="AB227" s="8">
        <f>IF(X227&lt;0,X227*0,1)*X227</f>
        <v>2</v>
      </c>
      <c r="AC227" s="123">
        <f>Q227-(U227*V227)</f>
        <v>0</v>
      </c>
      <c r="AD227" s="12"/>
      <c r="AE227" s="36">
        <f>AE210</f>
        <v>1</v>
      </c>
      <c r="AF227" s="138">
        <f>VLOOKUP(AF210,'Lookup Tables'!$AB$22:$AC$31,2,FALSE)</f>
        <v>32</v>
      </c>
      <c r="AG227" s="140">
        <f>VLOOKUP(AQ210,'Lookup Tables'!$AB$32:$AC$41,2,FALSE)</f>
        <v>0</v>
      </c>
      <c r="AH227" s="125">
        <f>AC227-AG227</f>
        <v>0</v>
      </c>
      <c r="AI227" s="12">
        <f>IF(AH227&gt;0,1,0)</f>
        <v>0</v>
      </c>
      <c r="AJ227" s="15">
        <f>((('Rate Tables'!F73*9)*0.02778)/5)*AH227*AI227*F227*BK225</f>
        <v>0</v>
      </c>
      <c r="AK227" s="8">
        <f>AL210</f>
        <v>0</v>
      </c>
      <c r="AL227" s="18"/>
      <c r="AM227" s="8">
        <f>IF(AK227&lt;0,AK227*0,1)*AK227</f>
        <v>0</v>
      </c>
      <c r="AN227" s="123">
        <f>AC227-(AH227*AI227)</f>
        <v>0</v>
      </c>
      <c r="AO227" s="12"/>
      <c r="AP227" s="36">
        <f>AP210</f>
        <v>3</v>
      </c>
      <c r="AQ227" s="138">
        <f>VLOOKUP(AQ210,'Lookup Tables'!$AB$22:$AC$31,2,FALSE)</f>
        <v>0</v>
      </c>
      <c r="AR227" s="140">
        <f>VLOOKUP(BB210,'Lookup Tables'!$AB$32:$AC$41,2,FALSE)</f>
        <v>0</v>
      </c>
      <c r="AS227" s="125">
        <f>AN227-AR227</f>
        <v>0</v>
      </c>
      <c r="AT227" s="12">
        <f>IF(AS227&gt;0,1,0)</f>
        <v>0</v>
      </c>
      <c r="AU227" s="15">
        <f>((('Rate Tables'!G73*9)*0.02778)/5)*AS227*AT227*F227*BK225</f>
        <v>0</v>
      </c>
      <c r="AV227" s="8">
        <f>AW210</f>
        <v>0</v>
      </c>
      <c r="AW227" s="18"/>
      <c r="AX227" s="8">
        <f>IF(AV227&lt;0,AV227*0,1)*AV227</f>
        <v>0</v>
      </c>
      <c r="AY227" s="123">
        <f>AN227-(AS227*AT227)</f>
        <v>0</v>
      </c>
      <c r="AZ227" s="12"/>
      <c r="BA227" s="36">
        <f>BA210</f>
        <v>3</v>
      </c>
      <c r="BB227" s="138">
        <f>VLOOKUP(BB210,'Lookup Tables'!$AB$22:$AC$31,2,FALSE)</f>
        <v>0</v>
      </c>
      <c r="BC227" s="140">
        <v>0</v>
      </c>
      <c r="BD227" s="125">
        <f>AY227-BC227</f>
        <v>0</v>
      </c>
      <c r="BE227" s="12">
        <f>IF(BD227&gt;0,1,0)</f>
        <v>0</v>
      </c>
      <c r="BF227" s="15">
        <f>((('Rate Tables'!H73*9)*0.02778)/5)*BD227*BE227*F227*BK225</f>
        <v>0</v>
      </c>
      <c r="BG227" s="8">
        <f>BH210</f>
        <v>0</v>
      </c>
      <c r="BH227" s="18"/>
      <c r="BI227" s="19"/>
      <c r="BJ227" s="12"/>
      <c r="BK227" s="227"/>
      <c r="BL227" s="349">
        <f>IF(BL226="yes",0.5,1)</f>
        <v>1</v>
      </c>
      <c r="BM227" s="12"/>
      <c r="BN227" s="285"/>
      <c r="BO227" s="15"/>
    </row>
    <row r="228" spans="1:67" x14ac:dyDescent="0.25">
      <c r="A228" s="145"/>
      <c r="B228" s="12"/>
      <c r="C228" s="819" t="s">
        <v>732</v>
      </c>
      <c r="D228" s="12"/>
      <c r="E228" s="13" t="s">
        <v>84</v>
      </c>
      <c r="F228" s="13" t="s">
        <v>42</v>
      </c>
      <c r="G228" s="13" t="s">
        <v>41</v>
      </c>
      <c r="H228" s="65" t="s">
        <v>77</v>
      </c>
      <c r="I228" s="137" t="s">
        <v>105</v>
      </c>
      <c r="J228" s="139" t="s">
        <v>106</v>
      </c>
      <c r="K228" s="127" t="s">
        <v>99</v>
      </c>
      <c r="L228" s="13" t="s">
        <v>100</v>
      </c>
      <c r="M228" s="13" t="s">
        <v>82</v>
      </c>
      <c r="N228" s="13" t="s">
        <v>32</v>
      </c>
      <c r="O228" s="14" t="s">
        <v>69</v>
      </c>
      <c r="P228" s="13" t="s">
        <v>72</v>
      </c>
      <c r="Q228" s="13" t="s">
        <v>103</v>
      </c>
      <c r="R228" s="65" t="s">
        <v>77</v>
      </c>
      <c r="S228" s="137" t="s">
        <v>105</v>
      </c>
      <c r="T228" s="139" t="s">
        <v>106</v>
      </c>
      <c r="U228" s="12" t="s">
        <v>98</v>
      </c>
      <c r="V228" s="13" t="s">
        <v>100</v>
      </c>
      <c r="W228" s="13" t="s">
        <v>33</v>
      </c>
      <c r="X228" s="13" t="s">
        <v>69</v>
      </c>
      <c r="Y228" s="13"/>
      <c r="Z228" s="13"/>
      <c r="AA228" s="18"/>
      <c r="AB228" s="13" t="s">
        <v>72</v>
      </c>
      <c r="AC228" s="13" t="s">
        <v>104</v>
      </c>
      <c r="AD228" s="13"/>
      <c r="AE228" s="65" t="s">
        <v>77</v>
      </c>
      <c r="AF228" s="137" t="s">
        <v>105</v>
      </c>
      <c r="AG228" s="139" t="s">
        <v>106</v>
      </c>
      <c r="AH228" s="12" t="s">
        <v>98</v>
      </c>
      <c r="AI228" s="13" t="s">
        <v>100</v>
      </c>
      <c r="AJ228" s="13" t="s">
        <v>34</v>
      </c>
      <c r="AK228" s="13" t="s">
        <v>69</v>
      </c>
      <c r="AL228" s="18"/>
      <c r="AM228" s="13" t="s">
        <v>72</v>
      </c>
      <c r="AN228" s="13" t="s">
        <v>104</v>
      </c>
      <c r="AO228" s="13"/>
      <c r="AP228" s="65" t="s">
        <v>77</v>
      </c>
      <c r="AQ228" s="137" t="s">
        <v>105</v>
      </c>
      <c r="AR228" s="139" t="s">
        <v>106</v>
      </c>
      <c r="AS228" s="12" t="s">
        <v>98</v>
      </c>
      <c r="AT228" s="13" t="s">
        <v>100</v>
      </c>
      <c r="AU228" s="13" t="s">
        <v>34</v>
      </c>
      <c r="AV228" s="13" t="s">
        <v>69</v>
      </c>
      <c r="AW228" s="18"/>
      <c r="AX228" s="13" t="s">
        <v>72</v>
      </c>
      <c r="AY228" s="13" t="s">
        <v>104</v>
      </c>
      <c r="AZ228" s="13"/>
      <c r="BA228" s="65" t="s">
        <v>77</v>
      </c>
      <c r="BB228" s="137" t="s">
        <v>105</v>
      </c>
      <c r="BC228" s="139" t="s">
        <v>106</v>
      </c>
      <c r="BD228" s="12" t="s">
        <v>98</v>
      </c>
      <c r="BE228" s="13" t="s">
        <v>100</v>
      </c>
      <c r="BF228" s="13" t="s">
        <v>34</v>
      </c>
      <c r="BG228" s="13" t="s">
        <v>69</v>
      </c>
      <c r="BH228" s="18"/>
      <c r="BI228" s="19"/>
      <c r="BJ228" s="12"/>
      <c r="BK228" s="227"/>
      <c r="BL228" s="349"/>
      <c r="BM228" s="12"/>
      <c r="BN228" s="285"/>
      <c r="BO228" s="15"/>
    </row>
    <row r="229" spans="1:67" x14ac:dyDescent="0.25">
      <c r="A229" s="145"/>
      <c r="B229" s="12"/>
      <c r="C229" s="115"/>
      <c r="D229" s="12"/>
      <c r="E229" s="128">
        <f>E227</f>
        <v>0</v>
      </c>
      <c r="F229" s="19">
        <f>IF($D$4=2025,1,0)</f>
        <v>0</v>
      </c>
      <c r="G229" s="178">
        <f>IF($B250="Yes",$C$5,$I249)</f>
        <v>12</v>
      </c>
      <c r="H229" s="36">
        <f>H212</f>
        <v>3</v>
      </c>
      <c r="I229" s="138">
        <f>VLOOKUP(J212,'Lookup Tables'!$AB$22:$AC$31,2,FALSE)</f>
        <v>32</v>
      </c>
      <c r="J229" s="140">
        <f>VLOOKUP(U212,'Lookup Tables'!$AB$32:$AC$41,2,FALSE)</f>
        <v>33</v>
      </c>
      <c r="K229" s="123">
        <f>E229-J229</f>
        <v>-33</v>
      </c>
      <c r="L229" s="12">
        <f>IF(K229&gt;0,1,0)</f>
        <v>0</v>
      </c>
      <c r="M229" s="119">
        <f>M212</f>
        <v>0</v>
      </c>
      <c r="N229" s="15">
        <f>((((('Rate Tables'!E73*9)*0.02778)/5)*K229)*L229)*F229*M229*BK225</f>
        <v>0</v>
      </c>
      <c r="O229" s="28">
        <f>O212</f>
        <v>12</v>
      </c>
      <c r="P229" s="8">
        <f>IF(O229&lt;0,O229*0,1)*O229</f>
        <v>12</v>
      </c>
      <c r="Q229" s="123">
        <f>(E229-K229*F229*L229*M229)</f>
        <v>0</v>
      </c>
      <c r="R229" s="36">
        <f>S212</f>
        <v>3</v>
      </c>
      <c r="S229" s="138">
        <f>VLOOKUP(U212,'Lookup Tables'!$AB$22:$AC$31,2,FALSE)</f>
        <v>32</v>
      </c>
      <c r="T229" s="140">
        <f>VLOOKUP(AF212,'Lookup Tables'!$AB$32:$AC$41,2,FALSE)</f>
        <v>33</v>
      </c>
      <c r="U229" s="129">
        <f>Q229-T229</f>
        <v>-33</v>
      </c>
      <c r="V229" s="12">
        <f>IF(U229&gt;0,1,0)</f>
        <v>0</v>
      </c>
      <c r="W229" s="15">
        <f>((('Rate Tables'!F73*9)*0.02778)/5)*U229*F229*V229*BK225</f>
        <v>0</v>
      </c>
      <c r="X229" s="8">
        <f>AA212</f>
        <v>2</v>
      </c>
      <c r="Y229" s="12"/>
      <c r="Z229" s="119"/>
      <c r="AA229" s="18"/>
      <c r="AB229" s="8">
        <f>IF(X229&lt;0,X229*0,1)*X229</f>
        <v>2</v>
      </c>
      <c r="AC229" s="123">
        <f>Q229-(U229*V229)</f>
        <v>0</v>
      </c>
      <c r="AD229" s="12"/>
      <c r="AE229" s="36">
        <f>AE212</f>
        <v>1</v>
      </c>
      <c r="AF229" s="138">
        <f>VLOOKUP(AF212,'Lookup Tables'!$AB$22:$AC$31,2,FALSE)</f>
        <v>32</v>
      </c>
      <c r="AG229" s="140">
        <f>VLOOKUP(AQ212,'Lookup Tables'!$AB$32:$AC$41,2,FALSE)</f>
        <v>0</v>
      </c>
      <c r="AH229" s="125">
        <f>AC229-AG229</f>
        <v>0</v>
      </c>
      <c r="AI229" s="12">
        <f>IF(AH229&gt;0,1,0)</f>
        <v>0</v>
      </c>
      <c r="AJ229" s="15">
        <f>((('Rate Tables'!G73*9)*0.02778)/5)*AH229*AI229*F229*BK225</f>
        <v>0</v>
      </c>
      <c r="AK229" s="8">
        <f>AL212</f>
        <v>0</v>
      </c>
      <c r="AL229" s="18"/>
      <c r="AM229" s="8">
        <f>IF(AK229&lt;0,AK229*0,1)*AK229</f>
        <v>0</v>
      </c>
      <c r="AN229" s="123">
        <f>AC229-(AH229*AI229)</f>
        <v>0</v>
      </c>
      <c r="AO229" s="12"/>
      <c r="AP229" s="36">
        <f>AP212</f>
        <v>3</v>
      </c>
      <c r="AQ229" s="138">
        <f>VLOOKUP(AQ212,'Lookup Tables'!$AB$22:$AC$31,2,FALSE)</f>
        <v>0</v>
      </c>
      <c r="AR229" s="140">
        <f>VLOOKUP(BB212,'Lookup Tables'!$AB$32:$AC$41,2,FALSE)</f>
        <v>0</v>
      </c>
      <c r="AS229" s="125">
        <f>AN229-AR229</f>
        <v>0</v>
      </c>
      <c r="AT229" s="12">
        <f>IF(AS229&gt;0,1,0)</f>
        <v>0</v>
      </c>
      <c r="AU229" s="15">
        <f>((('Rate Tables'!H73*9)*0.02778)/5)*AS229*AT229*F229*BK225</f>
        <v>0</v>
      </c>
      <c r="AV229" s="8">
        <f>AW212</f>
        <v>0</v>
      </c>
      <c r="AW229" s="18"/>
      <c r="AX229" s="8">
        <f>IF(AV229&lt;0,AV229*0,1)*AV229</f>
        <v>0</v>
      </c>
      <c r="AY229" s="123">
        <f>AN229-(AS229*AT229)</f>
        <v>0</v>
      </c>
      <c r="AZ229" s="12"/>
      <c r="BA229" s="36">
        <f>BA212</f>
        <v>3</v>
      </c>
      <c r="BB229" s="138">
        <f>VLOOKUP(BB212,'Lookup Tables'!$AB$22:$AC$31,2,FALSE)</f>
        <v>0</v>
      </c>
      <c r="BC229" s="140">
        <v>0</v>
      </c>
      <c r="BD229" s="125">
        <f>AY229-BC229</f>
        <v>0</v>
      </c>
      <c r="BE229" s="12">
        <f>IF(BD229&gt;0,1,0)</f>
        <v>0</v>
      </c>
      <c r="BF229" s="15">
        <f>((('Rate Tables'!I73*9)*0.02778)/5)*BD229*BE229*F229*BK225</f>
        <v>0</v>
      </c>
      <c r="BG229" s="8">
        <f>BH212</f>
        <v>0</v>
      </c>
      <c r="BH229" s="18"/>
      <c r="BI229" s="19"/>
      <c r="BJ229" s="12"/>
      <c r="BK229" s="227"/>
      <c r="BL229" s="349"/>
      <c r="BM229" s="12"/>
      <c r="BN229" s="285"/>
      <c r="BO229" s="15"/>
    </row>
    <row r="230" spans="1:67" x14ac:dyDescent="0.25">
      <c r="A230" s="145"/>
      <c r="B230" s="12"/>
      <c r="C230" s="114"/>
      <c r="D230" s="12"/>
      <c r="E230" s="12"/>
      <c r="F230" s="12"/>
      <c r="G230" s="12"/>
      <c r="H230" s="12"/>
      <c r="I230" s="12" t="s">
        <v>641</v>
      </c>
      <c r="J230" s="12" t="s">
        <v>642</v>
      </c>
      <c r="K230" s="12" t="s">
        <v>164</v>
      </c>
      <c r="L230" s="13" t="s">
        <v>165</v>
      </c>
      <c r="M230" s="608" t="s">
        <v>128</v>
      </c>
      <c r="N230" s="147" t="s">
        <v>129</v>
      </c>
      <c r="O230" s="135" t="s">
        <v>130</v>
      </c>
      <c r="P230" s="12"/>
      <c r="Q230" s="12"/>
      <c r="R230" s="12"/>
      <c r="S230" s="12"/>
      <c r="T230" s="12"/>
      <c r="U230" s="12"/>
      <c r="V230" s="12" t="s">
        <v>166</v>
      </c>
      <c r="W230" s="12" t="s">
        <v>163</v>
      </c>
      <c r="X230" s="13" t="s">
        <v>165</v>
      </c>
      <c r="Y230" s="650" t="s">
        <v>128</v>
      </c>
      <c r="Z230" s="13" t="s">
        <v>129</v>
      </c>
      <c r="AA230" s="135" t="s">
        <v>130</v>
      </c>
      <c r="AB230" s="12"/>
      <c r="AC230" s="12"/>
      <c r="AD230" s="12"/>
      <c r="AE230" s="12"/>
      <c r="AF230" s="12"/>
      <c r="AG230" s="12" t="s">
        <v>166</v>
      </c>
      <c r="AH230" s="12" t="s">
        <v>163</v>
      </c>
      <c r="AI230" s="13" t="s">
        <v>165</v>
      </c>
      <c r="AJ230" s="650" t="s">
        <v>128</v>
      </c>
      <c r="AK230" s="13" t="s">
        <v>129</v>
      </c>
      <c r="AL230" s="135" t="s">
        <v>130</v>
      </c>
      <c r="AM230" s="11"/>
      <c r="AN230" s="13"/>
      <c r="AO230" s="13"/>
      <c r="AP230" s="13"/>
      <c r="AQ230" s="13"/>
      <c r="AR230" s="12" t="s">
        <v>166</v>
      </c>
      <c r="AS230" s="12" t="s">
        <v>163</v>
      </c>
      <c r="AT230" s="13" t="s">
        <v>165</v>
      </c>
      <c r="AU230" s="650" t="s">
        <v>128</v>
      </c>
      <c r="AV230" s="13" t="s">
        <v>129</v>
      </c>
      <c r="AW230" s="135" t="s">
        <v>130</v>
      </c>
      <c r="AX230" s="153"/>
      <c r="AY230" s="153"/>
      <c r="AZ230" s="153"/>
      <c r="BA230" s="153"/>
      <c r="BB230" s="153"/>
      <c r="BC230" s="12" t="s">
        <v>166</v>
      </c>
      <c r="BD230" s="12" t="s">
        <v>163</v>
      </c>
      <c r="BE230" s="13" t="s">
        <v>165</v>
      </c>
      <c r="BF230" s="650" t="s">
        <v>128</v>
      </c>
      <c r="BG230" s="13" t="s">
        <v>129</v>
      </c>
      <c r="BH230" s="135" t="s">
        <v>130</v>
      </c>
      <c r="BI230" s="13" t="s">
        <v>159</v>
      </c>
      <c r="BJ230" s="12"/>
      <c r="BK230" s="227"/>
      <c r="BL230" s="350"/>
      <c r="BM230" s="12"/>
      <c r="BN230" s="285"/>
      <c r="BO230" s="15"/>
    </row>
    <row r="231" spans="1:67" x14ac:dyDescent="0.25">
      <c r="A231" s="145"/>
      <c r="B231" s="12"/>
      <c r="C231" s="114"/>
      <c r="D231" s="12"/>
      <c r="E231" s="12"/>
      <c r="F231" s="12"/>
      <c r="G231" s="12"/>
      <c r="H231" s="12"/>
      <c r="I231" s="12">
        <f>G206</f>
        <v>12</v>
      </c>
      <c r="J231" s="125">
        <f>BK215</f>
        <v>9</v>
      </c>
      <c r="K231" s="125">
        <f>I231-J231</f>
        <v>3</v>
      </c>
      <c r="L231" s="123">
        <f>V231</f>
        <v>0</v>
      </c>
      <c r="M231" s="609">
        <f>IF(M235&lt;=0,0,ROUNDUP(M235,0))</f>
        <v>3</v>
      </c>
      <c r="N231" s="161">
        <f>'Rate Tables'!$P$17</f>
        <v>910</v>
      </c>
      <c r="O231" s="136">
        <f>(M231*N231)*F223*M223</f>
        <v>0</v>
      </c>
      <c r="P231" s="12"/>
      <c r="Q231" s="12"/>
      <c r="R231" s="12"/>
      <c r="S231" s="12"/>
      <c r="T231" s="12"/>
      <c r="U231" s="12"/>
      <c r="V231" s="12">
        <f>VLOOKUP((U223*V223),'Lookup Tables'!$E$38:$F$103,2,0)</f>
        <v>0</v>
      </c>
      <c r="W231" s="12">
        <f>K231-(M231*M223)</f>
        <v>3</v>
      </c>
      <c r="X231" s="119">
        <f>AG231</f>
        <v>0</v>
      </c>
      <c r="Y231" s="609">
        <f>IF(Y235&lt;=0,0,ROUNDUP(Y235,0))</f>
        <v>3</v>
      </c>
      <c r="Z231" s="129">
        <f>'Rate Tables'!$P$18</f>
        <v>910</v>
      </c>
      <c r="AA231" s="136">
        <f>Y231*Z231*F223*V223</f>
        <v>0</v>
      </c>
      <c r="AB231" s="12"/>
      <c r="AC231" s="12"/>
      <c r="AD231" s="12"/>
      <c r="AE231" s="12"/>
      <c r="AF231" s="12"/>
      <c r="AG231" s="12">
        <f>VLOOKUP((AH223*AI223),'Lookup Tables'!$E$38:$F$103,2,0)</f>
        <v>0</v>
      </c>
      <c r="AH231" s="125">
        <f>W231-(Y231*V223)</f>
        <v>3</v>
      </c>
      <c r="AI231" s="119">
        <f>AR231</f>
        <v>0</v>
      </c>
      <c r="AJ231" s="609">
        <f>IF(AJ235&lt;=0,0,ROUNDUP(AJ235,0))</f>
        <v>3</v>
      </c>
      <c r="AK231" s="129">
        <f>'Rate Tables'!$P$19</f>
        <v>910</v>
      </c>
      <c r="AL231" s="136">
        <f>AJ231*AK231*F223*AI223</f>
        <v>0</v>
      </c>
      <c r="AM231" s="11"/>
      <c r="AN231" s="19"/>
      <c r="AO231" s="19"/>
      <c r="AP231" s="19"/>
      <c r="AQ231" s="19"/>
      <c r="AR231" s="12">
        <f>VLOOKUP((AS223*AT223),'Lookup Tables'!$E$38:$F$103,2,0)</f>
        <v>0</v>
      </c>
      <c r="AS231" s="125">
        <f>AH231-(AJ231*AI223)</f>
        <v>3</v>
      </c>
      <c r="AT231" s="119">
        <f>BC231</f>
        <v>0</v>
      </c>
      <c r="AU231" s="609">
        <f>IF(AU235&lt;=0,0,ROUNDUP(AU235,0))</f>
        <v>3</v>
      </c>
      <c r="AV231" s="129">
        <f>'Rate Tables'!$P$20</f>
        <v>928.2</v>
      </c>
      <c r="AW231" s="136">
        <f>AU231*AV231*F223*AT223</f>
        <v>0</v>
      </c>
      <c r="AX231" s="125"/>
      <c r="AY231" s="125"/>
      <c r="AZ231" s="125"/>
      <c r="BA231" s="125"/>
      <c r="BB231" s="125"/>
      <c r="BC231" s="12">
        <f>VLOOKUP((BD223*BE223),'Lookup Tables'!$E$38:$F$103,2,0)</f>
        <v>0</v>
      </c>
      <c r="BD231" s="125">
        <f>AS231-(AU231*AT223)</f>
        <v>3</v>
      </c>
      <c r="BE231" s="119">
        <v>0</v>
      </c>
      <c r="BF231" s="609">
        <f>IF(BF235&lt;=0,0,ROUNDUP(BF235,0))</f>
        <v>3</v>
      </c>
      <c r="BG231" s="129">
        <f>'Rate Tables'!$P$21</f>
        <v>946.76</v>
      </c>
      <c r="BH231" s="136">
        <f>BF231*BG231*F223*BE223</f>
        <v>0</v>
      </c>
      <c r="BI231" s="19">
        <f>VLOOKUP(B202,'Lookup Tables'!$AK$22:$AM$24,2,0)</f>
        <v>0</v>
      </c>
      <c r="BJ231" s="12"/>
      <c r="BK231" s="307"/>
      <c r="BL231" s="358"/>
      <c r="BM231" s="12"/>
      <c r="BN231" s="285"/>
      <c r="BO231" s="15"/>
    </row>
    <row r="232" spans="1:67" x14ac:dyDescent="0.25">
      <c r="A232" s="145"/>
      <c r="B232" s="12"/>
      <c r="C232" s="114"/>
      <c r="D232" s="12"/>
      <c r="E232" s="12"/>
      <c r="F232" s="12"/>
      <c r="G232" s="12"/>
      <c r="H232" s="12"/>
      <c r="I232" s="12">
        <f>G208</f>
        <v>12</v>
      </c>
      <c r="J232" s="125">
        <f>J231</f>
        <v>9</v>
      </c>
      <c r="K232" s="125">
        <f>I232-J232</f>
        <v>3</v>
      </c>
      <c r="L232" s="123">
        <f>V232</f>
        <v>0</v>
      </c>
      <c r="M232" s="609">
        <f>IF(M236&lt;=0,0,ROUNDUP(M236,0))</f>
        <v>3</v>
      </c>
      <c r="N232" s="161">
        <f>'Rate Tables'!$P$18</f>
        <v>910</v>
      </c>
      <c r="O232" s="136">
        <f>(M232*N232)*F225*M225</f>
        <v>0</v>
      </c>
      <c r="P232" s="12"/>
      <c r="Q232" s="12"/>
      <c r="R232" s="12"/>
      <c r="S232" s="12"/>
      <c r="T232" s="12"/>
      <c r="U232" s="12"/>
      <c r="V232" s="12">
        <f>VLOOKUP((U225*V225),'Lookup Tables'!$E$38:$F$103,2,0)</f>
        <v>0</v>
      </c>
      <c r="W232" s="12">
        <f>K232-(M232*M225)</f>
        <v>3</v>
      </c>
      <c r="X232" s="119">
        <f>AG232</f>
        <v>0</v>
      </c>
      <c r="Y232" s="609">
        <f>IF(Y236&lt;=0,0,ROUNDUP(Y236,0))</f>
        <v>3</v>
      </c>
      <c r="Z232" s="129">
        <f>'Rate Tables'!$P$19</f>
        <v>910</v>
      </c>
      <c r="AA232" s="136">
        <f>Y232*Z232*F225*V225</f>
        <v>0</v>
      </c>
      <c r="AB232" s="12"/>
      <c r="AC232" s="12"/>
      <c r="AD232" s="12"/>
      <c r="AE232" s="12"/>
      <c r="AF232" s="12"/>
      <c r="AG232" s="12">
        <f>VLOOKUP((AH225*AI225),'Lookup Tables'!$E$38:$F$103,2,0)</f>
        <v>0</v>
      </c>
      <c r="AH232" s="125">
        <f>W232-(Y232*V225)</f>
        <v>3</v>
      </c>
      <c r="AI232" s="119">
        <f>AR232</f>
        <v>0</v>
      </c>
      <c r="AJ232" s="609">
        <f>IF(AJ236&lt;=0,0,ROUNDUP(AJ236,0))</f>
        <v>3</v>
      </c>
      <c r="AK232" s="129">
        <f>'Rate Tables'!$P$20</f>
        <v>928.2</v>
      </c>
      <c r="AL232" s="136">
        <f>AJ232*AK232*F225*AI225</f>
        <v>0</v>
      </c>
      <c r="AM232" s="11"/>
      <c r="AN232" s="19"/>
      <c r="AO232" s="19"/>
      <c r="AP232" s="19"/>
      <c r="AQ232" s="19"/>
      <c r="AR232" s="12">
        <f>VLOOKUP((AS225*AT225),'Lookup Tables'!$E$38:$F$103,2,0)</f>
        <v>0</v>
      </c>
      <c r="AS232" s="125">
        <f>AH232-(AJ232*AI225)</f>
        <v>3</v>
      </c>
      <c r="AT232" s="119">
        <f t="shared" ref="AT232:AT234" si="1">BC232</f>
        <v>0</v>
      </c>
      <c r="AU232" s="609">
        <f>IF(AU236&lt;=0,0,ROUNDUP(AU236,0))</f>
        <v>3</v>
      </c>
      <c r="AV232" s="129">
        <f>'Rate Tables'!$P$21</f>
        <v>946.76</v>
      </c>
      <c r="AW232" s="737">
        <f>AU232*AV232*F225*AT225</f>
        <v>0</v>
      </c>
      <c r="AX232" s="15"/>
      <c r="AY232" s="15"/>
      <c r="AZ232" s="15"/>
      <c r="BA232" s="15"/>
      <c r="BB232" s="15"/>
      <c r="BC232" s="12">
        <f>VLOOKUP((BD225*BE225),'Lookup Tables'!$E$38:$F$103,2,0)</f>
        <v>0</v>
      </c>
      <c r="BD232" s="125">
        <f>AS232-(AU232*AT225)</f>
        <v>3</v>
      </c>
      <c r="BE232" s="119">
        <v>0</v>
      </c>
      <c r="BF232" s="609">
        <f t="shared" ref="BF232:BF234" si="2">IF(BF236&lt;=0,0,ROUNDUP(BF236,0))</f>
        <v>3</v>
      </c>
      <c r="BG232" s="129">
        <f>'Rate Tables'!$P$22</f>
        <v>965.7</v>
      </c>
      <c r="BH232" s="737">
        <f>BF232*BG232*F225*BE225</f>
        <v>0</v>
      </c>
      <c r="BI232" s="19"/>
      <c r="BJ232" s="12"/>
      <c r="BK232" s="307"/>
      <c r="BL232" s="349"/>
      <c r="BM232" s="12"/>
      <c r="BN232" s="285"/>
      <c r="BO232" s="15"/>
    </row>
    <row r="233" spans="1:67" x14ac:dyDescent="0.25">
      <c r="A233" s="145"/>
      <c r="B233" s="12"/>
      <c r="C233" s="114"/>
      <c r="D233" s="12"/>
      <c r="E233" s="12"/>
      <c r="F233" s="12"/>
      <c r="G233" s="12"/>
      <c r="H233" s="12"/>
      <c r="I233" s="12">
        <f>G210</f>
        <v>12</v>
      </c>
      <c r="J233" s="125">
        <f>J232</f>
        <v>9</v>
      </c>
      <c r="K233" s="125">
        <f>I233-J233</f>
        <v>3</v>
      </c>
      <c r="L233" s="123">
        <f>V233</f>
        <v>0</v>
      </c>
      <c r="M233" s="609">
        <f>IF(M237&lt;=0,0,ROUNDUP(M237,0))</f>
        <v>3</v>
      </c>
      <c r="N233" s="161">
        <f>'Rate Tables'!$P$19</f>
        <v>910</v>
      </c>
      <c r="O233" s="136">
        <f>(M233*N233)*F227*M227</f>
        <v>0</v>
      </c>
      <c r="P233" s="12"/>
      <c r="Q233" s="12"/>
      <c r="R233" s="12"/>
      <c r="S233" s="12"/>
      <c r="T233" s="12"/>
      <c r="U233" s="12"/>
      <c r="V233" s="12">
        <f>VLOOKUP((U227*V227),'Lookup Tables'!$E$38:$F$103,2,0)</f>
        <v>0</v>
      </c>
      <c r="W233" s="12">
        <f>K233-(M233*M227)</f>
        <v>3</v>
      </c>
      <c r="X233" s="119">
        <f>AG233</f>
        <v>0</v>
      </c>
      <c r="Y233" s="609">
        <f>IF(Y237&lt;=0,0,ROUNDUP(Y237,0))</f>
        <v>3</v>
      </c>
      <c r="Z233" s="129">
        <f>'Rate Tables'!$P$20</f>
        <v>928.2</v>
      </c>
      <c r="AA233" s="136">
        <f>Y233*Z233*F227*V227</f>
        <v>0</v>
      </c>
      <c r="AB233" s="12"/>
      <c r="AC233" s="12"/>
      <c r="AD233" s="12"/>
      <c r="AE233" s="12"/>
      <c r="AF233" s="12"/>
      <c r="AG233" s="12">
        <f>VLOOKUP((AH227*AI227),'Lookup Tables'!$E$38:$F$103,2,0)</f>
        <v>0</v>
      </c>
      <c r="AH233" s="125">
        <f>W233-(Y233*V227)</f>
        <v>3</v>
      </c>
      <c r="AI233" s="119">
        <f>AR233</f>
        <v>0</v>
      </c>
      <c r="AJ233" s="609">
        <f>IF(AJ237&lt;=0,0,ROUNDUP(AJ237,0))</f>
        <v>3</v>
      </c>
      <c r="AK233" s="129">
        <f>'Rate Tables'!$P$21</f>
        <v>946.76</v>
      </c>
      <c r="AL233" s="136">
        <f>AJ233*AK233*F227*AI227</f>
        <v>0</v>
      </c>
      <c r="AM233" s="11"/>
      <c r="AN233" s="19"/>
      <c r="AO233" s="19"/>
      <c r="AP233" s="19"/>
      <c r="AQ233" s="19"/>
      <c r="AR233" s="12">
        <f>VLOOKUP((AS227*AT227),'Lookup Tables'!$E$38:$F$103,2,0)</f>
        <v>0</v>
      </c>
      <c r="AS233" s="123">
        <f>AH233-(AJ233*AI227)</f>
        <v>3</v>
      </c>
      <c r="AT233" s="119">
        <f t="shared" si="1"/>
        <v>0</v>
      </c>
      <c r="AU233" s="609">
        <f>IF(AU237&lt;=0,0,ROUNDUP(AU237,0))</f>
        <v>3</v>
      </c>
      <c r="AV233" s="129">
        <f>'Rate Tables'!$P$22</f>
        <v>965.7</v>
      </c>
      <c r="AW233" s="136">
        <f>AU233*AV233*F227*AT227</f>
        <v>0</v>
      </c>
      <c r="AX233" s="125"/>
      <c r="AY233" s="125"/>
      <c r="AZ233" s="125"/>
      <c r="BA233" s="125"/>
      <c r="BB233" s="125"/>
      <c r="BC233" s="12">
        <f>VLOOKUP((BD227*BE227),'Lookup Tables'!$E$38:$F$103,2,0)</f>
        <v>0</v>
      </c>
      <c r="BD233" s="123">
        <f>AS233-(AU233*AT227)</f>
        <v>3</v>
      </c>
      <c r="BE233" s="119">
        <v>0</v>
      </c>
      <c r="BF233" s="609">
        <f t="shared" si="2"/>
        <v>3</v>
      </c>
      <c r="BG233" s="129">
        <f>'Rate Tables'!$P$23</f>
        <v>985.01</v>
      </c>
      <c r="BH233" s="136">
        <f>BF233*BG233*F227*BE227</f>
        <v>0</v>
      </c>
      <c r="BI233" s="19"/>
      <c r="BJ233" s="12"/>
      <c r="BK233" s="307"/>
      <c r="BL233" s="349"/>
      <c r="BM233" s="12"/>
      <c r="BN233" s="285"/>
      <c r="BO233" s="15"/>
    </row>
    <row r="234" spans="1:67" x14ac:dyDescent="0.25">
      <c r="A234" s="145"/>
      <c r="B234" s="12"/>
      <c r="C234" s="114"/>
      <c r="D234" s="12"/>
      <c r="E234" s="12"/>
      <c r="F234" s="12"/>
      <c r="G234" s="12"/>
      <c r="H234" s="12"/>
      <c r="I234" s="12">
        <f>G212</f>
        <v>12</v>
      </c>
      <c r="J234" s="125">
        <f>J233</f>
        <v>9</v>
      </c>
      <c r="K234" s="125">
        <f>I234-J234</f>
        <v>3</v>
      </c>
      <c r="L234" s="123">
        <f>V234</f>
        <v>0</v>
      </c>
      <c r="M234" s="609">
        <f>IF(M238&lt;=0,0,ROUNDUP(M238,0))</f>
        <v>3</v>
      </c>
      <c r="N234" s="161">
        <f>'Rate Tables'!$P$20</f>
        <v>928.2</v>
      </c>
      <c r="O234" s="136">
        <f>(M234*N234)*F229*M229</f>
        <v>0</v>
      </c>
      <c r="P234" s="12"/>
      <c r="Q234" s="12"/>
      <c r="R234" s="12"/>
      <c r="S234" s="12"/>
      <c r="T234" s="12"/>
      <c r="U234" s="12"/>
      <c r="V234" s="12">
        <f>VLOOKUP((U229*V229),'Lookup Tables'!$E$38:$F$103,2,0)</f>
        <v>0</v>
      </c>
      <c r="W234" s="12">
        <f>K234-(M234*M229)</f>
        <v>3</v>
      </c>
      <c r="X234" s="119">
        <f>AG234</f>
        <v>0</v>
      </c>
      <c r="Y234" s="609">
        <f>IF(Y238&lt;=0,0,ROUNDUP(Y238,0))</f>
        <v>3</v>
      </c>
      <c r="Z234" s="129">
        <f>'Rate Tables'!$P$21</f>
        <v>946.76</v>
      </c>
      <c r="AA234" s="136">
        <f>Y234*Z234*F229*V229</f>
        <v>0</v>
      </c>
      <c r="AB234" s="12"/>
      <c r="AC234" s="12"/>
      <c r="AD234" s="12"/>
      <c r="AE234" s="12"/>
      <c r="AF234" s="12"/>
      <c r="AG234" s="12">
        <f>VLOOKUP((AH229*AI229),'Lookup Tables'!$E$38:$F$103,2,0)</f>
        <v>0</v>
      </c>
      <c r="AH234" s="125">
        <f>W234-(Y234*V229)</f>
        <v>3</v>
      </c>
      <c r="AI234" s="119">
        <f>AR234</f>
        <v>0</v>
      </c>
      <c r="AJ234" s="609">
        <f>IF(AJ238&lt;=0,0,ROUNDUP(AJ238,0))</f>
        <v>3</v>
      </c>
      <c r="AK234" s="129">
        <f>'Rate Tables'!$P$22</f>
        <v>965.7</v>
      </c>
      <c r="AL234" s="136">
        <f>AJ234*AK234*F229*AI229</f>
        <v>0</v>
      </c>
      <c r="AM234" s="11"/>
      <c r="AN234" s="19"/>
      <c r="AO234" s="19"/>
      <c r="AP234" s="19"/>
      <c r="AQ234" s="19"/>
      <c r="AR234" s="12">
        <f>VLOOKUP((AS229*AT229),'Lookup Tables'!$E$38:$F$103,2,0)</f>
        <v>0</v>
      </c>
      <c r="AS234" s="123">
        <f>AH234-(AJ234*AI229)</f>
        <v>3</v>
      </c>
      <c r="AT234" s="119">
        <f t="shared" si="1"/>
        <v>0</v>
      </c>
      <c r="AU234" s="609">
        <f>IF(AU238&lt;=0,0,ROUNDUP(AU238,0))</f>
        <v>3</v>
      </c>
      <c r="AV234" s="129">
        <f>'Rate Tables'!$P$23</f>
        <v>985.01</v>
      </c>
      <c r="AW234" s="136">
        <f>AU234*AV234*F229*AT229</f>
        <v>0</v>
      </c>
      <c r="AX234" s="125"/>
      <c r="AY234" s="125"/>
      <c r="AZ234" s="125"/>
      <c r="BA234" s="125"/>
      <c r="BB234" s="125"/>
      <c r="BC234" s="12">
        <f>VLOOKUP((BD229*BE229),'Lookup Tables'!$E$38:$F$103,2,0)</f>
        <v>0</v>
      </c>
      <c r="BD234" s="123">
        <f>AS234-(AU234*AT229)</f>
        <v>3</v>
      </c>
      <c r="BE234" s="119">
        <v>0</v>
      </c>
      <c r="BF234" s="609">
        <f t="shared" si="2"/>
        <v>3</v>
      </c>
      <c r="BG234" s="129">
        <f>'Rate Tables'!$P$24</f>
        <v>1004.71</v>
      </c>
      <c r="BH234" s="136">
        <f>BF234*BG234*F229*BE229</f>
        <v>0</v>
      </c>
      <c r="BI234" s="19"/>
      <c r="BJ234" s="12"/>
      <c r="BK234" s="307"/>
      <c r="BL234" s="349"/>
      <c r="BM234" s="12"/>
      <c r="BN234" s="285"/>
      <c r="BO234" s="15"/>
    </row>
    <row r="235" spans="1:67" x14ac:dyDescent="0.25">
      <c r="A235" s="145"/>
      <c r="B235" s="12"/>
      <c r="C235" s="114"/>
      <c r="D235" s="12"/>
      <c r="E235" s="12"/>
      <c r="F235" s="12"/>
      <c r="G235" s="12"/>
      <c r="H235" s="12"/>
      <c r="I235" s="12"/>
      <c r="J235" s="125"/>
      <c r="K235" s="125"/>
      <c r="L235" s="123"/>
      <c r="M235" s="648">
        <f>K231-L231</f>
        <v>3</v>
      </c>
      <c r="N235" s="129"/>
      <c r="O235" s="136"/>
      <c r="P235" s="12"/>
      <c r="Q235" s="12"/>
      <c r="R235" s="12"/>
      <c r="S235" s="12"/>
      <c r="T235" s="12"/>
      <c r="U235" s="12"/>
      <c r="V235" s="12"/>
      <c r="W235" s="12"/>
      <c r="X235" s="119"/>
      <c r="Y235" s="651">
        <f>W231-X231</f>
        <v>3</v>
      </c>
      <c r="Z235" s="129"/>
      <c r="AA235" s="125"/>
      <c r="AB235" s="12"/>
      <c r="AC235" s="12"/>
      <c r="AD235" s="12"/>
      <c r="AE235" s="12"/>
      <c r="AF235" s="12"/>
      <c r="AG235" s="12"/>
      <c r="AH235" s="125"/>
      <c r="AI235" s="119"/>
      <c r="AJ235" s="651">
        <f>AH231-AI231</f>
        <v>3</v>
      </c>
      <c r="AK235" s="129"/>
      <c r="AL235" s="125"/>
      <c r="AM235" s="11"/>
      <c r="AN235" s="19"/>
      <c r="AO235" s="19"/>
      <c r="AP235" s="19"/>
      <c r="AQ235" s="19"/>
      <c r="AR235" s="12"/>
      <c r="AS235" s="123"/>
      <c r="AT235" s="119"/>
      <c r="AU235" s="651">
        <f>AS231-AT231</f>
        <v>3</v>
      </c>
      <c r="AV235" s="129"/>
      <c r="AW235" s="125"/>
      <c r="AX235" s="125"/>
      <c r="AY235" s="125"/>
      <c r="AZ235" s="125"/>
      <c r="BA235" s="125"/>
      <c r="BB235" s="125"/>
      <c r="BC235" s="12"/>
      <c r="BD235" s="123"/>
      <c r="BE235" s="119"/>
      <c r="BF235" s="651">
        <f>BD231-BE231</f>
        <v>3</v>
      </c>
      <c r="BG235" s="129"/>
      <c r="BH235" s="125"/>
      <c r="BI235" s="19"/>
      <c r="BJ235" s="12"/>
      <c r="BK235" s="307"/>
      <c r="BL235" s="349"/>
      <c r="BM235" s="12"/>
      <c r="BN235" s="285"/>
      <c r="BO235" s="15"/>
    </row>
    <row r="236" spans="1:67" x14ac:dyDescent="0.25">
      <c r="A236" s="145"/>
      <c r="B236" s="12"/>
      <c r="C236" s="114"/>
      <c r="D236" s="12"/>
      <c r="E236" s="12"/>
      <c r="F236" s="12"/>
      <c r="H236" s="12"/>
      <c r="I236" s="12"/>
      <c r="J236" s="12"/>
      <c r="K236" s="12"/>
      <c r="L236" s="123"/>
      <c r="M236" s="648">
        <f>K232-L232</f>
        <v>3</v>
      </c>
      <c r="N236" s="129"/>
      <c r="O236" s="136"/>
      <c r="P236" s="12"/>
      <c r="Q236" s="12"/>
      <c r="R236" s="12"/>
      <c r="S236" s="12"/>
      <c r="T236" s="12"/>
      <c r="U236" s="12"/>
      <c r="V236" s="12"/>
      <c r="W236" s="12"/>
      <c r="X236" s="119"/>
      <c r="Y236" s="651">
        <f>W232-X232</f>
        <v>3</v>
      </c>
      <c r="Z236" s="129"/>
      <c r="AA236" s="125"/>
      <c r="AB236" s="12"/>
      <c r="AC236" s="12"/>
      <c r="AD236" s="12"/>
      <c r="AE236" s="12"/>
      <c r="AF236" s="12"/>
      <c r="AG236" s="12"/>
      <c r="AH236" s="125"/>
      <c r="AI236" s="119"/>
      <c r="AJ236" s="651">
        <f t="shared" ref="AJ236:AJ238" si="3">AH232-AI232</f>
        <v>3</v>
      </c>
      <c r="AK236" s="129"/>
      <c r="AL236" s="125"/>
      <c r="AM236" s="11"/>
      <c r="AN236" s="19"/>
      <c r="AO236" s="19"/>
      <c r="AP236" s="19"/>
      <c r="AQ236" s="19"/>
      <c r="AR236" s="12"/>
      <c r="AS236" s="125"/>
      <c r="AT236" s="119"/>
      <c r="AU236" s="651">
        <f>AS232-AT232</f>
        <v>3</v>
      </c>
      <c r="AV236" s="129"/>
      <c r="AW236" s="125"/>
      <c r="AX236" s="125"/>
      <c r="AY236" s="125"/>
      <c r="AZ236" s="125"/>
      <c r="BA236" s="125"/>
      <c r="BB236" s="125"/>
      <c r="BC236" s="12"/>
      <c r="BD236" s="125"/>
      <c r="BE236" s="119"/>
      <c r="BF236" s="651">
        <f>BD232-BE232</f>
        <v>3</v>
      </c>
      <c r="BG236" s="129"/>
      <c r="BH236" s="125"/>
      <c r="BI236" s="19"/>
      <c r="BJ236" s="12"/>
      <c r="BK236" s="307"/>
      <c r="BL236" s="349"/>
      <c r="BM236" s="12"/>
      <c r="BN236" s="285"/>
      <c r="BO236" s="15"/>
    </row>
    <row r="237" spans="1:67" ht="15.75" thickBot="1" x14ac:dyDescent="0.3">
      <c r="A237" s="145"/>
      <c r="B237" s="12"/>
      <c r="C237" s="114"/>
      <c r="D237" s="12"/>
      <c r="E237" s="12"/>
      <c r="F237" s="12"/>
      <c r="G237" s="729"/>
      <c r="H237" s="12"/>
      <c r="I237" s="12"/>
      <c r="J237" s="12"/>
      <c r="K237" s="12"/>
      <c r="L237" s="123"/>
      <c r="M237" s="648">
        <f>K233-L233</f>
        <v>3</v>
      </c>
      <c r="N237" s="129"/>
      <c r="O237" s="125"/>
      <c r="P237" s="12"/>
      <c r="Q237" s="12"/>
      <c r="R237" s="12"/>
      <c r="S237" s="12"/>
      <c r="T237" s="12"/>
      <c r="U237" s="12"/>
      <c r="V237" s="12"/>
      <c r="W237" s="12"/>
      <c r="X237" s="119"/>
      <c r="Y237" s="651">
        <f>W233-X233</f>
        <v>3</v>
      </c>
      <c r="Z237" s="129"/>
      <c r="AA237" s="125"/>
      <c r="AB237" s="12"/>
      <c r="AC237" s="12"/>
      <c r="AD237" s="12"/>
      <c r="AE237" s="12"/>
      <c r="AF237" s="12"/>
      <c r="AG237" s="12"/>
      <c r="AH237" s="125"/>
      <c r="AI237" s="119"/>
      <c r="AJ237" s="651">
        <f t="shared" si="3"/>
        <v>3</v>
      </c>
      <c r="AK237" s="129"/>
      <c r="AL237" s="125"/>
      <c r="AM237" s="11"/>
      <c r="AN237" s="19"/>
      <c r="AO237" s="19"/>
      <c r="AP237" s="19"/>
      <c r="AQ237" s="19"/>
      <c r="AR237" s="12"/>
      <c r="AS237" s="125"/>
      <c r="AT237" s="119"/>
      <c r="AU237" s="651">
        <f>AS233-AT233</f>
        <v>3</v>
      </c>
      <c r="AV237" s="129"/>
      <c r="AW237" s="125"/>
      <c r="AX237" s="125"/>
      <c r="AY237" s="125"/>
      <c r="AZ237" s="125"/>
      <c r="BA237" s="125"/>
      <c r="BB237" s="125"/>
      <c r="BC237" s="12"/>
      <c r="BD237" s="125"/>
      <c r="BE237" s="119"/>
      <c r="BF237" s="651">
        <f>BD233-BE233</f>
        <v>3</v>
      </c>
      <c r="BG237" s="129"/>
      <c r="BH237" s="125"/>
      <c r="BI237" s="829"/>
      <c r="BJ237" s="149"/>
      <c r="BK237" s="830"/>
      <c r="BL237" s="831"/>
      <c r="BM237" s="149"/>
      <c r="BN237" s="832"/>
      <c r="BO237" s="15"/>
    </row>
    <row r="238" spans="1:67" x14ac:dyDescent="0.25">
      <c r="A238" s="145"/>
      <c r="B238" s="162"/>
      <c r="C238" s="115">
        <f>(B204*12)*2</f>
        <v>0</v>
      </c>
      <c r="D238" s="115"/>
      <c r="E238" s="126"/>
      <c r="F238" s="126"/>
      <c r="G238" s="729" t="s">
        <v>584</v>
      </c>
      <c r="H238" s="12"/>
      <c r="I238" s="12"/>
      <c r="J238" s="12"/>
      <c r="K238" s="12"/>
      <c r="L238" s="12"/>
      <c r="M238" s="649">
        <f>K234-L234</f>
        <v>3</v>
      </c>
      <c r="N238" s="12"/>
      <c r="O238" s="12"/>
      <c r="P238" s="12"/>
      <c r="Q238" s="12"/>
      <c r="R238" s="12"/>
      <c r="S238" s="12"/>
      <c r="T238" s="12"/>
      <c r="U238" s="12"/>
      <c r="V238" s="12"/>
      <c r="W238" s="12"/>
      <c r="X238" s="12"/>
      <c r="Y238" s="651">
        <f>W234-X234</f>
        <v>3</v>
      </c>
      <c r="Z238" s="12"/>
      <c r="AA238" s="12"/>
      <c r="AB238" s="12"/>
      <c r="AC238" s="12"/>
      <c r="AD238" s="12"/>
      <c r="AE238" s="12"/>
      <c r="AF238" s="12"/>
      <c r="AG238" s="12"/>
      <c r="AH238" s="12"/>
      <c r="AI238" s="12"/>
      <c r="AJ238" s="652">
        <f t="shared" si="3"/>
        <v>3</v>
      </c>
      <c r="AK238" s="12"/>
      <c r="AL238" s="12"/>
      <c r="AM238" s="11"/>
      <c r="AN238" s="12"/>
      <c r="AO238" s="12"/>
      <c r="AP238" s="12"/>
      <c r="AQ238" s="12"/>
      <c r="AR238" s="12"/>
      <c r="AS238" s="12"/>
      <c r="AT238" s="12"/>
      <c r="AU238" s="652">
        <f>AS234-AT234</f>
        <v>3</v>
      </c>
      <c r="AV238" s="12"/>
      <c r="AW238" s="12"/>
      <c r="AX238" s="12"/>
      <c r="AY238" s="12"/>
      <c r="AZ238" s="12"/>
      <c r="BA238" s="12"/>
      <c r="BB238" s="12"/>
      <c r="BC238" s="12"/>
      <c r="BD238" s="12"/>
      <c r="BE238" s="12"/>
      <c r="BF238" s="652">
        <f>BD234-BE234</f>
        <v>3</v>
      </c>
      <c r="BG238" s="12"/>
      <c r="BH238" s="12"/>
      <c r="BI238" s="12"/>
      <c r="BJ238" s="12"/>
      <c r="BK238" s="306" t="s">
        <v>413</v>
      </c>
      <c r="BL238" s="828">
        <f>Personnel!W66</f>
        <v>0</v>
      </c>
      <c r="BM238" s="276" t="s">
        <v>416</v>
      </c>
      <c r="BN238" s="285">
        <f>(M240+M242+M244+M246+W240+W242+W244+W246+AI240+AI242+AI244+AI246+AT240+AT242+AT244+AT246+BE240+BE242+BE244+BE246)*BI240</f>
        <v>0</v>
      </c>
      <c r="BO238" s="15"/>
    </row>
    <row r="239" spans="1:67" x14ac:dyDescent="0.25">
      <c r="A239" s="145"/>
      <c r="B239" s="12"/>
      <c r="C239" s="117" t="s">
        <v>30</v>
      </c>
      <c r="D239" s="117"/>
      <c r="E239" s="13"/>
      <c r="F239" s="13" t="s">
        <v>42</v>
      </c>
      <c r="G239" s="13" t="s">
        <v>41</v>
      </c>
      <c r="H239" s="65" t="s">
        <v>77</v>
      </c>
      <c r="I239" s="150" t="s">
        <v>50</v>
      </c>
      <c r="J239" s="13" t="s">
        <v>52</v>
      </c>
      <c r="K239" s="13" t="s">
        <v>35</v>
      </c>
      <c r="L239" s="13" t="s">
        <v>82</v>
      </c>
      <c r="M239" s="13" t="s">
        <v>31</v>
      </c>
      <c r="N239" s="13" t="s">
        <v>69</v>
      </c>
      <c r="O239" s="12"/>
      <c r="P239" s="13" t="s">
        <v>72</v>
      </c>
      <c r="Q239" s="65" t="s">
        <v>80</v>
      </c>
      <c r="R239" s="62" t="s">
        <v>81</v>
      </c>
      <c r="S239" s="65" t="s">
        <v>77</v>
      </c>
      <c r="T239" s="674" t="s">
        <v>107</v>
      </c>
      <c r="U239" s="13" t="s">
        <v>53</v>
      </c>
      <c r="V239" s="13" t="s">
        <v>82</v>
      </c>
      <c r="W239" s="13" t="s">
        <v>32</v>
      </c>
      <c r="X239" s="13" t="s">
        <v>69</v>
      </c>
      <c r="Y239" s="12"/>
      <c r="Z239" s="12"/>
      <c r="AA239" s="12"/>
      <c r="AB239" s="13" t="s">
        <v>72</v>
      </c>
      <c r="AC239" s="13" t="s">
        <v>80</v>
      </c>
      <c r="AD239" s="62" t="s">
        <v>81</v>
      </c>
      <c r="AE239" s="65" t="s">
        <v>77</v>
      </c>
      <c r="AF239" s="151" t="s">
        <v>107</v>
      </c>
      <c r="AG239" s="13" t="s">
        <v>78</v>
      </c>
      <c r="AH239" s="13" t="s">
        <v>82</v>
      </c>
      <c r="AI239" s="13" t="s">
        <v>33</v>
      </c>
      <c r="AJ239" s="13" t="s">
        <v>69</v>
      </c>
      <c r="AK239" s="12"/>
      <c r="AL239" s="12"/>
      <c r="AM239" s="13" t="s">
        <v>72</v>
      </c>
      <c r="AN239" s="13" t="s">
        <v>80</v>
      </c>
      <c r="AO239" s="62" t="s">
        <v>81</v>
      </c>
      <c r="AP239" s="65" t="s">
        <v>77</v>
      </c>
      <c r="AQ239" s="151" t="s">
        <v>107</v>
      </c>
      <c r="AR239" s="13" t="s">
        <v>78</v>
      </c>
      <c r="AS239" s="13" t="s">
        <v>82</v>
      </c>
      <c r="AT239" s="13" t="s">
        <v>33</v>
      </c>
      <c r="AU239" s="13" t="s">
        <v>69</v>
      </c>
      <c r="AV239" s="13"/>
      <c r="AW239" s="13"/>
      <c r="AX239" s="13" t="s">
        <v>72</v>
      </c>
      <c r="AY239" s="13" t="s">
        <v>80</v>
      </c>
      <c r="AZ239" s="62" t="s">
        <v>81</v>
      </c>
      <c r="BA239" s="65" t="s">
        <v>77</v>
      </c>
      <c r="BB239" s="151" t="s">
        <v>107</v>
      </c>
      <c r="BC239" s="13" t="s">
        <v>78</v>
      </c>
      <c r="BD239" s="13" t="s">
        <v>82</v>
      </c>
      <c r="BE239" s="13" t="s">
        <v>33</v>
      </c>
      <c r="BF239" s="13" t="s">
        <v>69</v>
      </c>
      <c r="BG239" s="13"/>
      <c r="BH239" s="13"/>
      <c r="BI239" s="13" t="s">
        <v>159</v>
      </c>
      <c r="BJ239" s="12"/>
      <c r="BK239" s="227"/>
      <c r="BL239" s="12"/>
      <c r="BM239" s="12"/>
      <c r="BN239" s="285"/>
      <c r="BO239" s="15"/>
    </row>
    <row r="240" spans="1:67" x14ac:dyDescent="0.25">
      <c r="A240" s="145"/>
      <c r="B240" s="12"/>
      <c r="C240" s="115"/>
      <c r="D240" s="115"/>
      <c r="E240" s="152">
        <f>BL$238</f>
        <v>0</v>
      </c>
      <c r="F240" s="19">
        <f>IF($D$4=2022,1,0)</f>
        <v>0</v>
      </c>
      <c r="G240" s="178">
        <f>IF($B250="Yes",$C$5,$I249)</f>
        <v>12</v>
      </c>
      <c r="H240" s="36">
        <f>VLOOKUP(H248,'Lookup Tables'!$A$22:$B$33,2,FALSE)</f>
        <v>3</v>
      </c>
      <c r="I240" s="192">
        <f>VLOOKUP($E$4,'Lookup Tables'!$AB$46:$AN$58,MATCH($H240,'Lookup Tables'!$AB$46:$AN$46),FALSE)</f>
        <v>12</v>
      </c>
      <c r="J240" s="19">
        <f>12-I240</f>
        <v>0</v>
      </c>
      <c r="K240" s="19">
        <f>IF(G240&lt;J240,G240,J240)</f>
        <v>0</v>
      </c>
      <c r="L240" s="195">
        <f>IF(12-I240&gt;=1,1,0)</f>
        <v>0</v>
      </c>
      <c r="M240" s="20">
        <f>((('Rate Tables'!$B94*$E240)*PersonCalcYr3!$K240)*L240)*$F240</f>
        <v>0</v>
      </c>
      <c r="N240" s="8">
        <f>G240-(J240*L240)</f>
        <v>12</v>
      </c>
      <c r="O240" s="12"/>
      <c r="P240" s="8">
        <f>IF(N240&lt;0,N240*0,1)*N240</f>
        <v>12</v>
      </c>
      <c r="Q240" s="120">
        <f>VLOOKUP($H248,'Lookup Tables'!$A$22:$B$33,2,FALSE)+(K240*L240)</f>
        <v>3</v>
      </c>
      <c r="R240" s="121" t="str">
        <f>VLOOKUP(Q240,'Lookup Tables'!$A$38:$B$151,2,FALSE)</f>
        <v>Sept</v>
      </c>
      <c r="S240" s="36">
        <f>VLOOKUP(R240,'Lookup Tables'!$A$22:$B$33,2,FALSE)</f>
        <v>3</v>
      </c>
      <c r="T240" s="672">
        <f>VLOOKUP($E$4,'Lookup Tables'!$AQ$46:$BC$58,MATCH(PersonCalcYr3!$S240,'Lookup Tables'!$AQ$46:$BC$46),FALSE)</f>
        <v>10</v>
      </c>
      <c r="U240" s="19">
        <f>IF(P240&lt;T240,P240,T240)</f>
        <v>10</v>
      </c>
      <c r="V240" s="119">
        <f>IF((U240)&lt;=0,0,1)</f>
        <v>1</v>
      </c>
      <c r="W240" s="20">
        <f>(('Rate Tables'!$C94*$E240)*PersonCalcYr3!$U240)*$V240*$F240</f>
        <v>0</v>
      </c>
      <c r="X240" s="8">
        <f>P240-(U240*V240)</f>
        <v>2</v>
      </c>
      <c r="Y240" s="12"/>
      <c r="Z240" s="12"/>
      <c r="AA240" s="12"/>
      <c r="AB240" s="19">
        <f>X240</f>
        <v>2</v>
      </c>
      <c r="AC240" s="833">
        <f>AC206</f>
        <v>13</v>
      </c>
      <c r="AD240" s="121" t="str">
        <f>VLOOKUP(AC240,'Lookup Tables'!$A$38:$B$151,2,FALSE)</f>
        <v>July</v>
      </c>
      <c r="AE240" s="36">
        <f>VLOOKUP(AD240,'Lookup Tables'!$A$22:$B$33,2,FALSE)</f>
        <v>1</v>
      </c>
      <c r="AF240" s="87">
        <f>VLOOKUP($AE240,'Lookup Tables'!$AC$3:$AW$16,MATCH(PersonCalcYr3!$AB240,'Lookup Tables'!$AC$3:$AW$3),FALSE)</f>
        <v>2</v>
      </c>
      <c r="AG240" s="19">
        <f>IF(AB240&lt;AF240,AB240,AF240)</f>
        <v>2</v>
      </c>
      <c r="AH240" s="119">
        <f>IF((AG240)&lt;=0,0,1)</f>
        <v>1</v>
      </c>
      <c r="AI240" s="20">
        <f>(('Rate Tables'!$D94*$E240)*PersonCalcYr3!AG240)*AH240*$F240</f>
        <v>0</v>
      </c>
      <c r="AJ240" s="8">
        <f>AB240-(AG240*AH240)</f>
        <v>0</v>
      </c>
      <c r="AK240" s="12"/>
      <c r="AL240" s="12"/>
      <c r="AM240" s="19">
        <f>AJ240</f>
        <v>0</v>
      </c>
      <c r="AN240" s="123">
        <f>AN206</f>
        <v>3</v>
      </c>
      <c r="AO240" s="121" t="str">
        <f>VLOOKUP(AN240,'Lookup Tables'!$A$38:$B$151,2,FALSE)</f>
        <v>Sept</v>
      </c>
      <c r="AP240" s="36">
        <f>VLOOKUP(AO240,'Lookup Tables'!$A$22:$B$33,2,FALSE)</f>
        <v>3</v>
      </c>
      <c r="AQ240" s="87">
        <f>VLOOKUP($AP240,'Lookup Tables'!$AC$3:$AW$16,MATCH(PersonCalcYr3!$AM240,'Lookup Tables'!$AC$3:$AW$3),FALSE)</f>
        <v>0</v>
      </c>
      <c r="AR240" s="19">
        <f>IF(AM240&lt;AQ240,AM240,AQ240)</f>
        <v>0</v>
      </c>
      <c r="AS240" s="119">
        <f>IF((AR240)&lt;=0,0,1)</f>
        <v>0</v>
      </c>
      <c r="AT240" s="20">
        <f>(('Rate Tables'!$E94*$E240)*PersonCalcYr3!AR240)*AS240*$F240</f>
        <v>0</v>
      </c>
      <c r="AU240" s="8">
        <f>AM240-(AR240*AS240)</f>
        <v>0</v>
      </c>
      <c r="AV240" s="19"/>
      <c r="AW240" s="19"/>
      <c r="AX240" s="19">
        <f>AU240</f>
        <v>0</v>
      </c>
      <c r="AY240" s="123">
        <f>AY206</f>
        <v>3</v>
      </c>
      <c r="AZ240" s="121" t="str">
        <f>VLOOKUP(AY240,'Lookup Tables'!$A$38:$B$151,2,FALSE)</f>
        <v>Sept</v>
      </c>
      <c r="BA240" s="36">
        <f>VLOOKUP(AZ240,'Lookup Tables'!$A$22:$B$33,2,FALSE)</f>
        <v>3</v>
      </c>
      <c r="BB240" s="87">
        <f>VLOOKUP($BA240,'Lookup Tables'!$AC$3:$AW$16,MATCH(PersonCalcYr3!$AX240,'Lookup Tables'!$AC$3:$AW$3),FALSE)</f>
        <v>0</v>
      </c>
      <c r="BC240" s="19">
        <f>IF(AX240&lt;BB240,AX240,BB240)</f>
        <v>0</v>
      </c>
      <c r="BD240" s="119">
        <f>IF((BC240)&lt;=0,0,1)</f>
        <v>0</v>
      </c>
      <c r="BE240" s="20">
        <f>(('Rate Tables'!$F94*$E240)*PersonCalcYr3!BC240)*BD240*$F240</f>
        <v>0</v>
      </c>
      <c r="BF240" s="8">
        <f>AX240-(BC240*BD240)</f>
        <v>0</v>
      </c>
      <c r="BG240" s="19"/>
      <c r="BH240" s="19"/>
      <c r="BI240" s="19">
        <f>VLOOKUP(B202,'Lookup Tables'!$AK$22:$AM$24,3,0)</f>
        <v>1</v>
      </c>
      <c r="BJ240" s="12"/>
      <c r="BK240" s="227"/>
      <c r="BL240" s="12"/>
      <c r="BM240" s="276" t="s">
        <v>188</v>
      </c>
      <c r="BN240" s="285">
        <f>BN238*'Rate Tables'!P$8</f>
        <v>0</v>
      </c>
      <c r="BO240" s="15"/>
    </row>
    <row r="241" spans="1:67" x14ac:dyDescent="0.25">
      <c r="A241" s="145"/>
      <c r="B241" s="12"/>
      <c r="C241" s="117" t="s">
        <v>597</v>
      </c>
      <c r="D241" s="117"/>
      <c r="E241" s="13"/>
      <c r="F241" s="13" t="s">
        <v>42</v>
      </c>
      <c r="G241" s="13" t="s">
        <v>41</v>
      </c>
      <c r="H241" s="65" t="s">
        <v>77</v>
      </c>
      <c r="I241" s="150" t="s">
        <v>51</v>
      </c>
      <c r="J241" s="13" t="s">
        <v>110</v>
      </c>
      <c r="K241" s="13" t="s">
        <v>53</v>
      </c>
      <c r="L241" s="13" t="s">
        <v>82</v>
      </c>
      <c r="M241" s="13" t="s">
        <v>32</v>
      </c>
      <c r="N241" s="13" t="s">
        <v>69</v>
      </c>
      <c r="O241" s="12"/>
      <c r="P241" s="13" t="s">
        <v>72</v>
      </c>
      <c r="Q241" s="65" t="s">
        <v>80</v>
      </c>
      <c r="R241" s="62" t="s">
        <v>81</v>
      </c>
      <c r="S241" s="65" t="s">
        <v>77</v>
      </c>
      <c r="T241" s="674" t="s">
        <v>107</v>
      </c>
      <c r="U241" s="13" t="s">
        <v>78</v>
      </c>
      <c r="V241" s="13" t="s">
        <v>82</v>
      </c>
      <c r="W241" s="13" t="s">
        <v>33</v>
      </c>
      <c r="X241" s="13" t="s">
        <v>69</v>
      </c>
      <c r="Y241" s="12"/>
      <c r="Z241" s="12"/>
      <c r="AA241" s="12"/>
      <c r="AB241" s="13" t="s">
        <v>72</v>
      </c>
      <c r="AC241" s="13" t="s">
        <v>80</v>
      </c>
      <c r="AD241" s="62" t="s">
        <v>81</v>
      </c>
      <c r="AE241" s="65" t="s">
        <v>77</v>
      </c>
      <c r="AF241" s="151" t="s">
        <v>107</v>
      </c>
      <c r="AG241" s="13" t="s">
        <v>79</v>
      </c>
      <c r="AH241" s="13" t="s">
        <v>82</v>
      </c>
      <c r="AI241" s="13" t="s">
        <v>34</v>
      </c>
      <c r="AJ241" s="13" t="s">
        <v>69</v>
      </c>
      <c r="AK241" s="12"/>
      <c r="AL241" s="12"/>
      <c r="AM241" s="13" t="s">
        <v>72</v>
      </c>
      <c r="AN241" s="13" t="s">
        <v>80</v>
      </c>
      <c r="AO241" s="62" t="s">
        <v>81</v>
      </c>
      <c r="AP241" s="65" t="s">
        <v>77</v>
      </c>
      <c r="AQ241" s="151" t="s">
        <v>107</v>
      </c>
      <c r="AR241" s="13" t="s">
        <v>79</v>
      </c>
      <c r="AS241" s="13" t="s">
        <v>82</v>
      </c>
      <c r="AT241" s="13" t="s">
        <v>34</v>
      </c>
      <c r="AU241" s="13" t="s">
        <v>69</v>
      </c>
      <c r="AV241" s="13"/>
      <c r="AW241" s="13"/>
      <c r="AX241" s="13" t="s">
        <v>72</v>
      </c>
      <c r="AY241" s="13" t="s">
        <v>80</v>
      </c>
      <c r="AZ241" s="62" t="s">
        <v>81</v>
      </c>
      <c r="BA241" s="65" t="s">
        <v>77</v>
      </c>
      <c r="BB241" s="151" t="s">
        <v>107</v>
      </c>
      <c r="BC241" s="13" t="s">
        <v>79</v>
      </c>
      <c r="BD241" s="13" t="s">
        <v>82</v>
      </c>
      <c r="BE241" s="13" t="s">
        <v>34</v>
      </c>
      <c r="BF241" s="13" t="s">
        <v>69</v>
      </c>
      <c r="BG241" s="13"/>
      <c r="BH241" s="13"/>
      <c r="BI241" s="13"/>
      <c r="BJ241" s="12"/>
      <c r="BK241" s="311"/>
      <c r="BL241" s="12"/>
      <c r="BM241" s="12"/>
      <c r="BN241" s="285"/>
      <c r="BO241" s="15"/>
    </row>
    <row r="242" spans="1:67" x14ac:dyDescent="0.25">
      <c r="A242" s="145"/>
      <c r="B242" s="12"/>
      <c r="C242" s="115"/>
      <c r="D242" s="115"/>
      <c r="E242" s="152">
        <f>BL$238</f>
        <v>0</v>
      </c>
      <c r="F242" s="19">
        <f>IF($D$4=2023,1,0)</f>
        <v>0</v>
      </c>
      <c r="G242" s="178">
        <f>IF($B250="Yes",$C$5,$I249)</f>
        <v>12</v>
      </c>
      <c r="H242" s="36">
        <f>VLOOKUP(H248,'Lookup Tables'!$A$22:$B$33,2,FALSE)</f>
        <v>3</v>
      </c>
      <c r="I242" s="192">
        <f>VLOOKUP($E$4,'Lookup Tables'!$AB$46:$AN$58,MATCH($H242,'Lookup Tables'!$AB$46:$AN$46),FALSE)</f>
        <v>12</v>
      </c>
      <c r="J242" s="19">
        <f>12-I242</f>
        <v>0</v>
      </c>
      <c r="K242" s="19">
        <f>IF(G242&lt;J242,G242,J242)</f>
        <v>0</v>
      </c>
      <c r="L242" s="195">
        <f>IF(12-I242&gt;=1,1,0)</f>
        <v>0</v>
      </c>
      <c r="M242" s="20">
        <f>((('Rate Tables'!$C94*$E242)*PersonCalcYr3!$K242)*L242)*$F242</f>
        <v>0</v>
      </c>
      <c r="N242" s="8">
        <f>G242-(J242*L242)</f>
        <v>12</v>
      </c>
      <c r="O242" s="12"/>
      <c r="P242" s="8">
        <f>IF(N242&lt;0,N242*0,1)*N242</f>
        <v>12</v>
      </c>
      <c r="Q242" s="120">
        <f>VLOOKUP($H248,'Lookup Tables'!$A$22:$B$33,2,FALSE)+(K242*L242)</f>
        <v>3</v>
      </c>
      <c r="R242" s="121" t="str">
        <f>VLOOKUP(Q242,'Lookup Tables'!$A$38:$B$151,2,FALSE)</f>
        <v>Sept</v>
      </c>
      <c r="S242" s="36">
        <f>VLOOKUP(R242,'Lookup Tables'!$A$22:$B$33,2,FALSE)</f>
        <v>3</v>
      </c>
      <c r="T242" s="672">
        <f>VLOOKUP($E$4,'Lookup Tables'!$AQ$46:$BC$58,MATCH(PersonCalcYr3!$S242,'Lookup Tables'!$AQ$46:$BC$46),FALSE)</f>
        <v>10</v>
      </c>
      <c r="U242" s="19">
        <f>IF(P242&lt;T242,P242,T242)</f>
        <v>10</v>
      </c>
      <c r="V242" s="119">
        <f>IF((U242)&lt;=0,0,1)</f>
        <v>1</v>
      </c>
      <c r="W242" s="20">
        <f>(('Rate Tables'!$D94*$E242)*PersonCalcYr3!$U242)*$V242*$F242</f>
        <v>0</v>
      </c>
      <c r="X242" s="8">
        <f>P242-(U242*V242)</f>
        <v>2</v>
      </c>
      <c r="Y242" s="12"/>
      <c r="Z242" s="12"/>
      <c r="AA242" s="12"/>
      <c r="AB242" s="19">
        <f>X242</f>
        <v>2</v>
      </c>
      <c r="AC242" s="123">
        <f>AC208</f>
        <v>13</v>
      </c>
      <c r="AD242" s="121" t="str">
        <f>VLOOKUP(AC242,'Lookup Tables'!$A$38:$B$151,2,FALSE)</f>
        <v>July</v>
      </c>
      <c r="AE242" s="36">
        <f>VLOOKUP(AD242,'Lookup Tables'!$A$22:$B$33,2,FALSE)</f>
        <v>1</v>
      </c>
      <c r="AF242" s="87">
        <f>VLOOKUP($AE242,'Lookup Tables'!$AC$3:$AW$16,MATCH(PersonCalcYr3!$AB242,'Lookup Tables'!$AC$3:$AW$3),FALSE)</f>
        <v>2</v>
      </c>
      <c r="AG242" s="19">
        <f>IF(AB242&lt;AF242,AB242,AF242)</f>
        <v>2</v>
      </c>
      <c r="AH242" s="119">
        <f>IF((AG242)&lt;=0,0,1)</f>
        <v>1</v>
      </c>
      <c r="AI242" s="20">
        <f>(('Rate Tables'!$E94*$E242)*PersonCalcYr3!AG242)*AH242*$F242</f>
        <v>0</v>
      </c>
      <c r="AJ242" s="8">
        <f>AB242-(AG242*AH242)</f>
        <v>0</v>
      </c>
      <c r="AK242" s="12"/>
      <c r="AL242" s="12"/>
      <c r="AM242" s="19">
        <f>AJ242</f>
        <v>0</v>
      </c>
      <c r="AN242" s="123">
        <f>AN208</f>
        <v>3</v>
      </c>
      <c r="AO242" s="121" t="str">
        <f>VLOOKUP(AN242,'Lookup Tables'!$A$38:$B$151,2,FALSE)</f>
        <v>Sept</v>
      </c>
      <c r="AP242" s="36">
        <f>VLOOKUP(AO242,'Lookup Tables'!$A$22:$B$33,2,FALSE)</f>
        <v>3</v>
      </c>
      <c r="AQ242" s="87">
        <f>VLOOKUP($AP242,'Lookup Tables'!$AC$3:$AW$16,MATCH(PersonCalcYr3!$AM242,'Lookup Tables'!$AC$3:$AW$3),FALSE)</f>
        <v>0</v>
      </c>
      <c r="AR242" s="19">
        <f>IF(AM242&lt;AQ242,AM242,AQ242)</f>
        <v>0</v>
      </c>
      <c r="AS242" s="119">
        <f>IF((AR242)&lt;=0,0,1)</f>
        <v>0</v>
      </c>
      <c r="AT242" s="20">
        <f>(('Rate Tables'!$F94*$E242)*PersonCalcYr3!AR242)*AS242*$F242</f>
        <v>0</v>
      </c>
      <c r="AU242" s="8">
        <f>AM242-(AR242*AS242)</f>
        <v>0</v>
      </c>
      <c r="AV242" s="20"/>
      <c r="AW242" s="20"/>
      <c r="AX242" s="19">
        <f>AU242</f>
        <v>0</v>
      </c>
      <c r="AY242" s="123">
        <f>AY208</f>
        <v>3</v>
      </c>
      <c r="AZ242" s="121" t="str">
        <f>VLOOKUP(AY242,'Lookup Tables'!$A$38:$B$151,2,FALSE)</f>
        <v>Sept</v>
      </c>
      <c r="BA242" s="36">
        <f>VLOOKUP(AZ242,'Lookup Tables'!$A$22:$B$33,2,FALSE)</f>
        <v>3</v>
      </c>
      <c r="BB242" s="87">
        <f>VLOOKUP($BA242,'Lookup Tables'!$AC$3:$AW$16,MATCH(PersonCalcYr3!$AX242,'Lookup Tables'!$AC$3:$AW$3),FALSE)</f>
        <v>0</v>
      </c>
      <c r="BC242" s="19">
        <f>IF(AX242&lt;BB242,AX242,BB242)</f>
        <v>0</v>
      </c>
      <c r="BD242" s="119">
        <f>IF((BC242)&lt;=0,0,1)</f>
        <v>0</v>
      </c>
      <c r="BE242" s="20">
        <f>(('Rate Tables'!$G94*$E242)*PersonCalcYr3!BC242)*BD242*$F242</f>
        <v>0</v>
      </c>
      <c r="BF242" s="8">
        <f>AX242-(BC242*BD242)</f>
        <v>0</v>
      </c>
      <c r="BG242" s="20"/>
      <c r="BH242" s="20"/>
      <c r="BI242" s="20"/>
      <c r="BJ242" s="12"/>
      <c r="BK242" s="311"/>
      <c r="BL242" s="349" t="s">
        <v>643</v>
      </c>
      <c r="BM242" s="276" t="s">
        <v>136</v>
      </c>
      <c r="BN242" s="285">
        <f>(((O248+O249+O250+O251+AA248+AA249+AA250+AA251+AL248+AL249+AL250+AL251+AW248+AW249+AW250+AW251+BH248+BH249+BH250+BH251)*BI248)*BN243)*BL247</f>
        <v>0</v>
      </c>
      <c r="BO242" s="12" t="s">
        <v>418</v>
      </c>
    </row>
    <row r="243" spans="1:67" x14ac:dyDescent="0.25">
      <c r="A243" s="145"/>
      <c r="B243" s="12"/>
      <c r="C243" s="117" t="s">
        <v>664</v>
      </c>
      <c r="D243" s="115"/>
      <c r="E243" s="13"/>
      <c r="F243" s="13" t="s">
        <v>42</v>
      </c>
      <c r="G243" s="13" t="s">
        <v>41</v>
      </c>
      <c r="H243" s="65" t="s">
        <v>77</v>
      </c>
      <c r="I243" s="150" t="s">
        <v>51</v>
      </c>
      <c r="J243" s="13" t="s">
        <v>110</v>
      </c>
      <c r="K243" s="13" t="s">
        <v>53</v>
      </c>
      <c r="L243" s="13" t="s">
        <v>82</v>
      </c>
      <c r="M243" s="13" t="s">
        <v>32</v>
      </c>
      <c r="N243" s="13" t="s">
        <v>69</v>
      </c>
      <c r="O243" s="12"/>
      <c r="P243" s="13" t="s">
        <v>72</v>
      </c>
      <c r="Q243" s="65" t="s">
        <v>80</v>
      </c>
      <c r="R243" s="62" t="s">
        <v>81</v>
      </c>
      <c r="S243" s="65" t="s">
        <v>77</v>
      </c>
      <c r="T243" s="674" t="s">
        <v>107</v>
      </c>
      <c r="U243" s="13" t="s">
        <v>78</v>
      </c>
      <c r="V243" s="13" t="s">
        <v>82</v>
      </c>
      <c r="W243" s="13" t="s">
        <v>33</v>
      </c>
      <c r="X243" s="13" t="s">
        <v>69</v>
      </c>
      <c r="Y243" s="12"/>
      <c r="Z243" s="12"/>
      <c r="AA243" s="12"/>
      <c r="AB243" s="13" t="s">
        <v>72</v>
      </c>
      <c r="AC243" s="13" t="s">
        <v>80</v>
      </c>
      <c r="AD243" s="62" t="s">
        <v>81</v>
      </c>
      <c r="AE243" s="65" t="s">
        <v>77</v>
      </c>
      <c r="AF243" s="151" t="s">
        <v>107</v>
      </c>
      <c r="AG243" s="13" t="s">
        <v>79</v>
      </c>
      <c r="AH243" s="13" t="s">
        <v>82</v>
      </c>
      <c r="AI243" s="13" t="s">
        <v>34</v>
      </c>
      <c r="AJ243" s="13" t="s">
        <v>69</v>
      </c>
      <c r="AK243" s="12"/>
      <c r="AL243" s="12"/>
      <c r="AM243" s="13" t="s">
        <v>72</v>
      </c>
      <c r="AN243" s="13" t="s">
        <v>80</v>
      </c>
      <c r="AO243" s="62" t="s">
        <v>81</v>
      </c>
      <c r="AP243" s="65" t="s">
        <v>77</v>
      </c>
      <c r="AQ243" s="151" t="s">
        <v>107</v>
      </c>
      <c r="AR243" s="13" t="s">
        <v>79</v>
      </c>
      <c r="AS243" s="13" t="s">
        <v>82</v>
      </c>
      <c r="AT243" s="13" t="s">
        <v>34</v>
      </c>
      <c r="AU243" s="13" t="s">
        <v>69</v>
      </c>
      <c r="AV243" s="20"/>
      <c r="AW243" s="20"/>
      <c r="AX243" s="13" t="s">
        <v>72</v>
      </c>
      <c r="AY243" s="13" t="s">
        <v>80</v>
      </c>
      <c r="AZ243" s="62" t="s">
        <v>81</v>
      </c>
      <c r="BA243" s="65" t="s">
        <v>77</v>
      </c>
      <c r="BB243" s="151" t="s">
        <v>107</v>
      </c>
      <c r="BC243" s="13" t="s">
        <v>79</v>
      </c>
      <c r="BD243" s="13" t="s">
        <v>82</v>
      </c>
      <c r="BE243" s="13" t="s">
        <v>34</v>
      </c>
      <c r="BF243" s="13" t="s">
        <v>69</v>
      </c>
      <c r="BG243" s="20"/>
      <c r="BH243" s="20"/>
      <c r="BI243" s="20"/>
      <c r="BJ243" s="12"/>
      <c r="BK243" s="311"/>
      <c r="BL243" s="350" t="s">
        <v>644</v>
      </c>
      <c r="BM243" s="227" t="s">
        <v>582</v>
      </c>
      <c r="BN243" s="663">
        <f>IF(BN238&gt;0,1,0)</f>
        <v>0</v>
      </c>
      <c r="BO243" s="12"/>
    </row>
    <row r="244" spans="1:67" x14ac:dyDescent="0.25">
      <c r="A244" s="145"/>
      <c r="B244" s="12"/>
      <c r="C244" s="115"/>
      <c r="D244" s="115"/>
      <c r="E244" s="152">
        <f>BL$238</f>
        <v>0</v>
      </c>
      <c r="F244" s="19">
        <f>IF($D$4=2024,1,0)</f>
        <v>1</v>
      </c>
      <c r="G244" s="178">
        <f>IF($B250="Yes",$C$5,$I249)</f>
        <v>12</v>
      </c>
      <c r="H244" s="36">
        <f>VLOOKUP(H248,'Lookup Tables'!$A$22:$B$33,2,FALSE)</f>
        <v>3</v>
      </c>
      <c r="I244" s="192">
        <f>VLOOKUP($E$4,'Lookup Tables'!$AB$46:$AN$58,MATCH($H244,'Lookup Tables'!$AB$46:$AN$46),FALSE)</f>
        <v>12</v>
      </c>
      <c r="J244" s="19">
        <f>12-I244</f>
        <v>0</v>
      </c>
      <c r="K244" s="19">
        <f>IF(G244&lt;J244,G244,J244)</f>
        <v>0</v>
      </c>
      <c r="L244" s="195">
        <f>IF(12-I244&gt;=1,1,0)</f>
        <v>0</v>
      </c>
      <c r="M244" s="20">
        <f>((('Rate Tables'!$D94*$E244)*PersonCalcYr3!$K244)*L244)*$F244</f>
        <v>0</v>
      </c>
      <c r="N244" s="8">
        <f>G244-(J244*L244)</f>
        <v>12</v>
      </c>
      <c r="O244" s="12"/>
      <c r="P244" s="8">
        <f>IF(N244&lt;0,N244*0,1)*N244</f>
        <v>12</v>
      </c>
      <c r="Q244" s="120">
        <f>VLOOKUP($H248,'Lookup Tables'!$A$22:$B$33,2,FALSE)+(K244*L244)</f>
        <v>3</v>
      </c>
      <c r="R244" s="121" t="str">
        <f>VLOOKUP(Q244,'Lookup Tables'!$A$38:$B$151,2,FALSE)</f>
        <v>Sept</v>
      </c>
      <c r="S244" s="36">
        <f>VLOOKUP(R244,'Lookup Tables'!$A$22:$B$33,2,FALSE)</f>
        <v>3</v>
      </c>
      <c r="T244" s="672">
        <f>VLOOKUP($E$4,'Lookup Tables'!$AQ$46:$BC$58,MATCH(PersonCalcYr3!$S244,'Lookup Tables'!$AQ$46:$BC$46),FALSE)</f>
        <v>10</v>
      </c>
      <c r="U244" s="19">
        <f>IF(P244&lt;T244,P244,T244)</f>
        <v>10</v>
      </c>
      <c r="V244" s="119">
        <f>IF((U244)&lt;=0,0,1)</f>
        <v>1</v>
      </c>
      <c r="W244" s="20">
        <f>(('Rate Tables'!$E94*$E244)*PersonCalcYr3!$U244)*$V244*$F244</f>
        <v>0</v>
      </c>
      <c r="X244" s="8">
        <f>P244-(U244*V244)</f>
        <v>2</v>
      </c>
      <c r="Y244" s="12"/>
      <c r="Z244" s="12"/>
      <c r="AA244" s="12"/>
      <c r="AB244" s="19">
        <f>X244</f>
        <v>2</v>
      </c>
      <c r="AC244" s="123">
        <f>AC210</f>
        <v>13</v>
      </c>
      <c r="AD244" s="121" t="str">
        <f>VLOOKUP(AC244,'Lookup Tables'!$A$38:$B$151,2,FALSE)</f>
        <v>July</v>
      </c>
      <c r="AE244" s="36">
        <f>VLOOKUP(AD244,'Lookup Tables'!$A$22:$B$33,2,FALSE)</f>
        <v>1</v>
      </c>
      <c r="AF244" s="87">
        <f>VLOOKUP($AE244,'Lookup Tables'!$AC$3:$AW$16,MATCH(PersonCalcYr3!$AB244,'Lookup Tables'!$AC$3:$AW$3),FALSE)</f>
        <v>2</v>
      </c>
      <c r="AG244" s="19">
        <f>IF(AB244&lt;AF244,AB244,AF244)</f>
        <v>2</v>
      </c>
      <c r="AH244" s="119">
        <f>IF((AG244)&lt;=0,0,1)</f>
        <v>1</v>
      </c>
      <c r="AI244" s="20">
        <f>(('Rate Tables'!$F94*$E244)*PersonCalcYr3!AG244)*AH244*$F244</f>
        <v>0</v>
      </c>
      <c r="AJ244" s="8">
        <f>AB244-(AG244*AH244)</f>
        <v>0</v>
      </c>
      <c r="AK244" s="12"/>
      <c r="AL244" s="12"/>
      <c r="AM244" s="19">
        <f>AJ244</f>
        <v>0</v>
      </c>
      <c r="AN244" s="123">
        <f>AN210</f>
        <v>3</v>
      </c>
      <c r="AO244" s="121" t="str">
        <f>VLOOKUP(AN244,'Lookup Tables'!$A$38:$B$151,2,FALSE)</f>
        <v>Sept</v>
      </c>
      <c r="AP244" s="36">
        <f>VLOOKUP(AO244,'Lookup Tables'!$A$22:$B$33,2,FALSE)</f>
        <v>3</v>
      </c>
      <c r="AQ244" s="87">
        <f>VLOOKUP($AP244,'Lookup Tables'!$AC$3:$AW$16,MATCH(PersonCalcYr3!$AM244,'Lookup Tables'!$AC$3:$AW$3),FALSE)</f>
        <v>0</v>
      </c>
      <c r="AR244" s="19">
        <f>IF(AM244&lt;AQ244,AM244,AQ244)</f>
        <v>0</v>
      </c>
      <c r="AS244" s="119">
        <f>IF((AR244)&lt;=0,0,1)</f>
        <v>0</v>
      </c>
      <c r="AT244" s="20">
        <f>(('Rate Tables'!$G94*$E244)*PersonCalcYr3!AR244)*AS244*$F244</f>
        <v>0</v>
      </c>
      <c r="AU244" s="8">
        <f>AM244-(AR244*AS244)</f>
        <v>0</v>
      </c>
      <c r="AV244" s="20"/>
      <c r="AW244" s="20"/>
      <c r="AX244" s="19">
        <f>AU244</f>
        <v>0</v>
      </c>
      <c r="AY244" s="123">
        <f>AY210</f>
        <v>3</v>
      </c>
      <c r="AZ244" s="121" t="str">
        <f>VLOOKUP(AY244,'Lookup Tables'!$A$38:$B$151,2,FALSE)</f>
        <v>Sept</v>
      </c>
      <c r="BA244" s="36">
        <f>VLOOKUP(AZ244,'Lookup Tables'!$A$22:$B$33,2,FALSE)</f>
        <v>3</v>
      </c>
      <c r="BB244" s="87">
        <f>VLOOKUP($BA244,'Lookup Tables'!$AC$3:$AW$16,MATCH(PersonCalcYr3!$AX244,'Lookup Tables'!$AC$3:$AW$3),FALSE)</f>
        <v>0</v>
      </c>
      <c r="BC244" s="19">
        <f>IF(AX244&lt;BB244,AX244,BB244)</f>
        <v>0</v>
      </c>
      <c r="BD244" s="119">
        <f>IF((BC244)&lt;=0,0,1)</f>
        <v>0</v>
      </c>
      <c r="BE244" s="20">
        <f>(('Rate Tables'!$H94*$E244)*PersonCalcYr3!BC244)*BD244*$F244</f>
        <v>0</v>
      </c>
      <c r="BF244" s="8">
        <f>AX244-(BC244*BD244)</f>
        <v>0</v>
      </c>
      <c r="BG244" s="20"/>
      <c r="BH244" s="20"/>
      <c r="BI244" s="20"/>
      <c r="BJ244" s="12"/>
      <c r="BK244" s="311"/>
      <c r="BL244" s="358" t="str">
        <f>IF(BL238=50%,"no",Personnel!W70)</f>
        <v>No</v>
      </c>
      <c r="BM244" s="276"/>
      <c r="BN244" s="285"/>
      <c r="BO244" s="12"/>
    </row>
    <row r="245" spans="1:67" x14ac:dyDescent="0.25">
      <c r="A245" s="145"/>
      <c r="B245" s="12"/>
      <c r="C245" s="819" t="s">
        <v>732</v>
      </c>
      <c r="D245" s="115"/>
      <c r="E245" s="13"/>
      <c r="F245" s="13" t="s">
        <v>42</v>
      </c>
      <c r="G245" s="13" t="s">
        <v>41</v>
      </c>
      <c r="H245" s="65" t="s">
        <v>77</v>
      </c>
      <c r="I245" s="150" t="s">
        <v>51</v>
      </c>
      <c r="J245" s="13" t="s">
        <v>110</v>
      </c>
      <c r="K245" s="13" t="s">
        <v>53</v>
      </c>
      <c r="L245" s="13" t="s">
        <v>82</v>
      </c>
      <c r="M245" s="13" t="s">
        <v>32</v>
      </c>
      <c r="N245" s="13" t="s">
        <v>69</v>
      </c>
      <c r="O245" s="12"/>
      <c r="P245" s="13" t="s">
        <v>72</v>
      </c>
      <c r="Q245" s="65" t="s">
        <v>80</v>
      </c>
      <c r="R245" s="62" t="s">
        <v>81</v>
      </c>
      <c r="S245" s="65" t="s">
        <v>77</v>
      </c>
      <c r="T245" s="674" t="s">
        <v>107</v>
      </c>
      <c r="U245" s="13" t="s">
        <v>78</v>
      </c>
      <c r="V245" s="13" t="s">
        <v>82</v>
      </c>
      <c r="W245" s="13" t="s">
        <v>33</v>
      </c>
      <c r="X245" s="13" t="s">
        <v>69</v>
      </c>
      <c r="Y245" s="12"/>
      <c r="Z245" s="12"/>
      <c r="AA245" s="12"/>
      <c r="AB245" s="13" t="s">
        <v>72</v>
      </c>
      <c r="AC245" s="13" t="s">
        <v>80</v>
      </c>
      <c r="AD245" s="62" t="s">
        <v>81</v>
      </c>
      <c r="AE245" s="65" t="s">
        <v>77</v>
      </c>
      <c r="AF245" s="151" t="s">
        <v>107</v>
      </c>
      <c r="AG245" s="13" t="s">
        <v>79</v>
      </c>
      <c r="AH245" s="13" t="s">
        <v>82</v>
      </c>
      <c r="AI245" s="13" t="s">
        <v>34</v>
      </c>
      <c r="AJ245" s="13" t="s">
        <v>69</v>
      </c>
      <c r="AK245" s="12"/>
      <c r="AL245" s="12"/>
      <c r="AM245" s="13" t="s">
        <v>72</v>
      </c>
      <c r="AN245" s="13" t="s">
        <v>80</v>
      </c>
      <c r="AO245" s="62" t="s">
        <v>81</v>
      </c>
      <c r="AP245" s="65" t="s">
        <v>77</v>
      </c>
      <c r="AQ245" s="151" t="s">
        <v>107</v>
      </c>
      <c r="AR245" s="13" t="s">
        <v>79</v>
      </c>
      <c r="AS245" s="13" t="s">
        <v>82</v>
      </c>
      <c r="AT245" s="13" t="s">
        <v>34</v>
      </c>
      <c r="AU245" s="13" t="s">
        <v>69</v>
      </c>
      <c r="AV245" s="20"/>
      <c r="AW245" s="20"/>
      <c r="AX245" s="13" t="s">
        <v>72</v>
      </c>
      <c r="AY245" s="13" t="s">
        <v>80</v>
      </c>
      <c r="AZ245" s="62" t="s">
        <v>81</v>
      </c>
      <c r="BA245" s="65" t="s">
        <v>77</v>
      </c>
      <c r="BB245" s="151" t="s">
        <v>107</v>
      </c>
      <c r="BC245" s="13" t="s">
        <v>79</v>
      </c>
      <c r="BD245" s="13" t="s">
        <v>82</v>
      </c>
      <c r="BE245" s="13" t="s">
        <v>34</v>
      </c>
      <c r="BF245" s="13" t="s">
        <v>69</v>
      </c>
      <c r="BG245" s="20"/>
      <c r="BH245" s="20"/>
      <c r="BI245" s="20"/>
      <c r="BJ245" s="12"/>
      <c r="BK245" s="311"/>
      <c r="BL245" s="358"/>
      <c r="BM245" s="276"/>
      <c r="BN245" s="285"/>
      <c r="BO245" s="12"/>
    </row>
    <row r="246" spans="1:67" x14ac:dyDescent="0.25">
      <c r="A246" s="145"/>
      <c r="B246" s="12"/>
      <c r="C246" s="115"/>
      <c r="D246" s="115"/>
      <c r="E246" s="152">
        <f>BL$238</f>
        <v>0</v>
      </c>
      <c r="F246" s="19">
        <f>IF($D$4=2025,1,0)</f>
        <v>0</v>
      </c>
      <c r="G246" s="178">
        <f>IF($B250="Yes",$C$5,$I249)</f>
        <v>12</v>
      </c>
      <c r="H246" s="36">
        <f>VLOOKUP(H248,'Lookup Tables'!$A$22:$B$33,2,FALSE)</f>
        <v>3</v>
      </c>
      <c r="I246" s="192">
        <f>VLOOKUP($E$4,'Lookup Tables'!$AB$46:$AN$58,MATCH($H246,'Lookup Tables'!$AB$46:$AN$46),FALSE)</f>
        <v>12</v>
      </c>
      <c r="J246" s="19">
        <f>12-I246</f>
        <v>0</v>
      </c>
      <c r="K246" s="19">
        <f>IF(G246&lt;J246,G246,J246)</f>
        <v>0</v>
      </c>
      <c r="L246" s="195">
        <f>IF(12-I246&gt;=1,1,0)</f>
        <v>0</v>
      </c>
      <c r="M246" s="20">
        <f>((('Rate Tables'!$E94*$E246)*PersonCalcYr3!$K246)*L246)*$F246</f>
        <v>0</v>
      </c>
      <c r="N246" s="8">
        <f>G246-(J246*L246)</f>
        <v>12</v>
      </c>
      <c r="O246" s="12"/>
      <c r="P246" s="8">
        <f>IF(N246&lt;0,N246*0,1)*N246</f>
        <v>12</v>
      </c>
      <c r="Q246" s="120">
        <f>VLOOKUP($H248,'Lookup Tables'!$A$22:$B$33,2,FALSE)+(K246*L246)</f>
        <v>3</v>
      </c>
      <c r="R246" s="121" t="str">
        <f>VLOOKUP(Q246,'Lookup Tables'!$A$38:$B$151,2,FALSE)</f>
        <v>Sept</v>
      </c>
      <c r="S246" s="36">
        <f>VLOOKUP(R246,'Lookup Tables'!$A$22:$B$33,2,FALSE)</f>
        <v>3</v>
      </c>
      <c r="T246" s="672">
        <f>VLOOKUP($E$4,'Lookup Tables'!$AQ$46:$BC$58,MATCH(PersonCalcYr3!$S246,'Lookup Tables'!$AQ$46:$BC$46),FALSE)</f>
        <v>10</v>
      </c>
      <c r="U246" s="19">
        <f>IF(P246&lt;T246,P246,T246)</f>
        <v>10</v>
      </c>
      <c r="V246" s="119">
        <f>IF((U246)&lt;=0,0,1)</f>
        <v>1</v>
      </c>
      <c r="W246" s="20">
        <f>(('Rate Tables'!$F94*$E246)*PersonCalcYr3!$U246)*$V246*$F246</f>
        <v>0</v>
      </c>
      <c r="X246" s="8">
        <f>P246-(U246*V246)</f>
        <v>2</v>
      </c>
      <c r="Y246" s="12"/>
      <c r="Z246" s="12"/>
      <c r="AA246" s="12"/>
      <c r="AB246" s="19">
        <f>X246</f>
        <v>2</v>
      </c>
      <c r="AC246" s="123">
        <f>AC212</f>
        <v>13</v>
      </c>
      <c r="AD246" s="121" t="str">
        <f>VLOOKUP(AC246,'Lookup Tables'!$A$38:$B$151,2,FALSE)</f>
        <v>July</v>
      </c>
      <c r="AE246" s="36">
        <f>VLOOKUP(AD246,'Lookup Tables'!$A$22:$B$33,2,FALSE)</f>
        <v>1</v>
      </c>
      <c r="AF246" s="87">
        <f>VLOOKUP($AE246,'Lookup Tables'!$AC$3:$AW$16,MATCH(PersonCalcYr3!$AB246,'Lookup Tables'!$AC$3:$AW$3),FALSE)</f>
        <v>2</v>
      </c>
      <c r="AG246" s="19">
        <f>IF(AB246&lt;AF246,AB246,AF246)</f>
        <v>2</v>
      </c>
      <c r="AH246" s="119">
        <f>IF((AG246)&lt;=0,0,1)</f>
        <v>1</v>
      </c>
      <c r="AI246" s="20">
        <f>(('Rate Tables'!$G94*$E246)*PersonCalcYr3!AG246)*AH246*$F246</f>
        <v>0</v>
      </c>
      <c r="AJ246" s="8">
        <f>AB246-(AG246*AH246)</f>
        <v>0</v>
      </c>
      <c r="AK246" s="12"/>
      <c r="AL246" s="12"/>
      <c r="AM246" s="19">
        <f>AJ246</f>
        <v>0</v>
      </c>
      <c r="AN246" s="123">
        <f>AN212</f>
        <v>3</v>
      </c>
      <c r="AO246" s="121" t="str">
        <f>VLOOKUP(AN246,'Lookup Tables'!$A$38:$B$151,2,FALSE)</f>
        <v>Sept</v>
      </c>
      <c r="AP246" s="36">
        <f>VLOOKUP(AO246,'Lookup Tables'!$A$22:$B$33,2,FALSE)</f>
        <v>3</v>
      </c>
      <c r="AQ246" s="87">
        <f>VLOOKUP($AP246,'Lookup Tables'!$AC$3:$AW$16,MATCH(PersonCalcYr3!$AM246,'Lookup Tables'!$AC$3:$AW$3),FALSE)</f>
        <v>0</v>
      </c>
      <c r="AR246" s="19">
        <f>IF(AM246&lt;AQ246,AM246,AQ246)</f>
        <v>0</v>
      </c>
      <c r="AS246" s="119">
        <f>IF((AR246)&lt;=0,0,1)</f>
        <v>0</v>
      </c>
      <c r="AT246" s="20">
        <f>(('Rate Tables'!$G96*$E246)*PersonCalcYr3!AR246)*AS246*$F246</f>
        <v>0</v>
      </c>
      <c r="AU246" s="8">
        <f>AM246-(AR246*AS246)</f>
        <v>0</v>
      </c>
      <c r="AV246" s="20"/>
      <c r="AW246" s="20"/>
      <c r="AX246" s="19">
        <f>AU246</f>
        <v>0</v>
      </c>
      <c r="AY246" s="123">
        <f>AY212</f>
        <v>3</v>
      </c>
      <c r="AZ246" s="121" t="str">
        <f>VLOOKUP(AY246,'Lookup Tables'!$A$38:$B$151,2,FALSE)</f>
        <v>Sept</v>
      </c>
      <c r="BA246" s="36">
        <f>VLOOKUP(AZ246,'Lookup Tables'!$A$22:$B$33,2,FALSE)</f>
        <v>3</v>
      </c>
      <c r="BB246" s="87">
        <f>VLOOKUP($BA246,'Lookup Tables'!$AC$3:$AW$16,MATCH(PersonCalcYr3!$AX246,'Lookup Tables'!$AC$3:$AW$3),FALSE)</f>
        <v>0</v>
      </c>
      <c r="BC246" s="19">
        <f>IF(AX246&lt;BB246,AX246,BB246)</f>
        <v>0</v>
      </c>
      <c r="BD246" s="119">
        <f>IF((BC246)&lt;=0,0,1)</f>
        <v>0</v>
      </c>
      <c r="BE246" s="20">
        <f>(('Rate Tables'!$I94*$E246)*PersonCalcYr3!BC246)*BD246*$F246</f>
        <v>0</v>
      </c>
      <c r="BF246" s="8">
        <f>AX246-(BC246*BD246)</f>
        <v>0</v>
      </c>
      <c r="BG246" s="20"/>
      <c r="BH246" s="20"/>
      <c r="BI246" s="20"/>
      <c r="BJ246" s="12"/>
      <c r="BK246" s="311"/>
      <c r="BL246" s="358"/>
      <c r="BM246" s="276"/>
      <c r="BN246" s="285"/>
      <c r="BO246" s="12"/>
    </row>
    <row r="247" spans="1:67" x14ac:dyDescent="0.25">
      <c r="A247" s="145"/>
      <c r="B247" s="12" t="s">
        <v>127</v>
      </c>
      <c r="C247" s="12"/>
      <c r="D247" s="12"/>
      <c r="E247" s="12"/>
      <c r="F247" s="12"/>
      <c r="G247" s="12"/>
      <c r="H247" s="12"/>
      <c r="I247" s="12"/>
      <c r="J247" s="12"/>
      <c r="K247" s="12"/>
      <c r="L247" s="13"/>
      <c r="M247" s="13" t="s">
        <v>129</v>
      </c>
      <c r="N247" s="13" t="s">
        <v>128</v>
      </c>
      <c r="O247" s="153" t="s">
        <v>130</v>
      </c>
      <c r="P247" s="12"/>
      <c r="Q247" s="12"/>
      <c r="R247" s="12"/>
      <c r="S247" s="12"/>
      <c r="T247" s="12"/>
      <c r="U247" s="12"/>
      <c r="V247" s="12"/>
      <c r="W247" s="12"/>
      <c r="X247" s="12"/>
      <c r="Y247" s="13" t="s">
        <v>129</v>
      </c>
      <c r="Z247" s="13" t="s">
        <v>128</v>
      </c>
      <c r="AA247" s="153" t="s">
        <v>130</v>
      </c>
      <c r="AB247" s="12"/>
      <c r="AC247" s="12"/>
      <c r="AD247" s="12"/>
      <c r="AE247" s="12"/>
      <c r="AF247" s="12"/>
      <c r="AG247" s="12"/>
      <c r="AH247" s="12"/>
      <c r="AI247" s="12"/>
      <c r="AJ247" s="13" t="s">
        <v>129</v>
      </c>
      <c r="AK247" s="13" t="s">
        <v>128</v>
      </c>
      <c r="AL247" s="153" t="s">
        <v>130</v>
      </c>
      <c r="AM247" s="11"/>
      <c r="AN247" s="13"/>
      <c r="AO247" s="13"/>
      <c r="AP247" s="13"/>
      <c r="AQ247" s="13"/>
      <c r="AR247" s="13"/>
      <c r="AS247" s="13"/>
      <c r="AT247" s="13"/>
      <c r="AU247" s="13" t="s">
        <v>129</v>
      </c>
      <c r="AV247" s="13" t="s">
        <v>128</v>
      </c>
      <c r="AW247" s="153" t="s">
        <v>130</v>
      </c>
      <c r="AX247" s="153"/>
      <c r="AY247" s="153"/>
      <c r="AZ247" s="153"/>
      <c r="BA247" s="153"/>
      <c r="BB247" s="153"/>
      <c r="BC247" s="153"/>
      <c r="BD247" s="153"/>
      <c r="BE247" s="153"/>
      <c r="BF247" s="13" t="s">
        <v>129</v>
      </c>
      <c r="BG247" s="13" t="s">
        <v>128</v>
      </c>
      <c r="BH247" s="153" t="s">
        <v>130</v>
      </c>
      <c r="BI247" s="13" t="s">
        <v>159</v>
      </c>
      <c r="BJ247" s="12"/>
      <c r="BK247" s="227"/>
      <c r="BL247" s="349">
        <f>IF(BL244="yes",0.5,1)</f>
        <v>1</v>
      </c>
      <c r="BM247" s="12"/>
      <c r="BN247" s="285"/>
      <c r="BO247" s="372">
        <f>VLOOKUP('F&amp;ARatesCalc'!$B$1,'F&amp;ARatesCalc'!$A$3:$B$5,2,FALSE)</f>
        <v>0.56999999999999995</v>
      </c>
    </row>
    <row r="248" spans="1:67" x14ac:dyDescent="0.25">
      <c r="A248" s="145"/>
      <c r="B248" s="12"/>
      <c r="C248" s="12"/>
      <c r="D248" s="12"/>
      <c r="E248" s="12"/>
      <c r="F248" s="12"/>
      <c r="G248" s="178" t="s">
        <v>430</v>
      </c>
      <c r="H248" s="178" t="str">
        <f>IF(B250="yes",$C$4,A253)</f>
        <v>Sept</v>
      </c>
      <c r="I248" s="12"/>
      <c r="J248" s="12"/>
      <c r="K248" s="12"/>
      <c r="L248" s="12"/>
      <c r="M248" s="129">
        <f>'Rate Tables'!$P$17</f>
        <v>910</v>
      </c>
      <c r="N248" s="146">
        <f>(K240*L240)*F240</f>
        <v>0</v>
      </c>
      <c r="O248" s="125">
        <f>M248*N248</f>
        <v>0</v>
      </c>
      <c r="P248" s="12"/>
      <c r="Q248" s="12"/>
      <c r="R248" s="12"/>
      <c r="S248" s="12"/>
      <c r="T248" s="12"/>
      <c r="U248" s="12"/>
      <c r="V248" s="12"/>
      <c r="W248" s="12"/>
      <c r="X248" s="12"/>
      <c r="Y248" s="129">
        <f>'Rate Tables'!$P$18</f>
        <v>910</v>
      </c>
      <c r="Z248" s="146">
        <f>U240*V240*F240</f>
        <v>0</v>
      </c>
      <c r="AA248" s="125">
        <f>Y248*Z248</f>
        <v>0</v>
      </c>
      <c r="AB248" s="12"/>
      <c r="AC248" s="12"/>
      <c r="AD248" s="12"/>
      <c r="AE248" s="12"/>
      <c r="AF248" s="12"/>
      <c r="AG248" s="12"/>
      <c r="AH248" s="12"/>
      <c r="AI248" s="12"/>
      <c r="AJ248" s="129">
        <f>'Rate Tables'!$P$19</f>
        <v>910</v>
      </c>
      <c r="AK248" s="146">
        <f>AG240*AH240*F240</f>
        <v>0</v>
      </c>
      <c r="AL248" s="125">
        <f>AJ248*AK248</f>
        <v>0</v>
      </c>
      <c r="AM248" s="11"/>
      <c r="AN248" s="19"/>
      <c r="AO248" s="19"/>
      <c r="AP248" s="19"/>
      <c r="AQ248" s="19"/>
      <c r="AR248" s="19"/>
      <c r="AS248" s="19"/>
      <c r="AT248" s="19"/>
      <c r="AU248" s="129">
        <f>'Rate Tables'!$P$20</f>
        <v>928.2</v>
      </c>
      <c r="AV248" s="146">
        <f>AR240*AS240*F240</f>
        <v>0</v>
      </c>
      <c r="AW248" s="125">
        <f>AU248*AV248</f>
        <v>0</v>
      </c>
      <c r="AX248" s="125"/>
      <c r="AY248" s="125"/>
      <c r="AZ248" s="125"/>
      <c r="BA248" s="125"/>
      <c r="BB248" s="125"/>
      <c r="BC248" s="125"/>
      <c r="BD248" s="125"/>
      <c r="BE248" s="125"/>
      <c r="BF248" s="129">
        <f>'Rate Tables'!$P$21</f>
        <v>946.76</v>
      </c>
      <c r="BG248" s="146">
        <f>BC240*BD240*F240</f>
        <v>0</v>
      </c>
      <c r="BH248" s="125">
        <f>BF248*BG248</f>
        <v>0</v>
      </c>
      <c r="BI248" s="19">
        <f>VLOOKUP(B202,'Lookup Tables'!$AK$22:$AM$24,3,0)</f>
        <v>1</v>
      </c>
      <c r="BJ248" s="12"/>
      <c r="BK248" s="307"/>
      <c r="BL248" s="125"/>
      <c r="BM248" s="12"/>
      <c r="BN248" s="285"/>
      <c r="BO248" s="12" t="s">
        <v>417</v>
      </c>
    </row>
    <row r="249" spans="1:67" x14ac:dyDescent="0.25">
      <c r="A249" s="145"/>
      <c r="B249" s="12"/>
      <c r="C249" s="12"/>
      <c r="D249" s="12"/>
      <c r="E249" s="12"/>
      <c r="F249" s="12"/>
      <c r="G249" s="818" t="s">
        <v>665</v>
      </c>
      <c r="H249" s="11">
        <f>IF(H252&lt;$C$5,H252,$C$5)</f>
        <v>12</v>
      </c>
      <c r="I249" s="178">
        <f>IF(B253&lt;=H252,B253,H252)</f>
        <v>0</v>
      </c>
      <c r="J249" s="12"/>
      <c r="K249" s="12"/>
      <c r="L249" s="12"/>
      <c r="M249" s="129">
        <f>'Rate Tables'!$P$18</f>
        <v>910</v>
      </c>
      <c r="N249" s="146">
        <f>K242*L242*F242</f>
        <v>0</v>
      </c>
      <c r="O249" s="154">
        <f>M249*N249</f>
        <v>0</v>
      </c>
      <c r="P249" s="12"/>
      <c r="Q249" s="12"/>
      <c r="R249" s="12"/>
      <c r="S249" s="12"/>
      <c r="T249" s="12"/>
      <c r="U249" s="12"/>
      <c r="V249" s="12"/>
      <c r="W249" s="12"/>
      <c r="X249" s="12"/>
      <c r="Y249" s="129">
        <f>'Rate Tables'!$P$19</f>
        <v>910</v>
      </c>
      <c r="Z249" s="146">
        <f>U242*V242*F242</f>
        <v>0</v>
      </c>
      <c r="AA249" s="125">
        <f>Y249*Z249</f>
        <v>0</v>
      </c>
      <c r="AB249" s="12"/>
      <c r="AC249" s="12"/>
      <c r="AD249" s="12"/>
      <c r="AE249" s="12"/>
      <c r="AF249" s="12"/>
      <c r="AG249" s="12"/>
      <c r="AH249" s="12"/>
      <c r="AI249" s="12"/>
      <c r="AJ249" s="129">
        <f>'Rate Tables'!$P$20</f>
        <v>928.2</v>
      </c>
      <c r="AK249" s="146">
        <f>AG242*AH242*F242</f>
        <v>0</v>
      </c>
      <c r="AL249" s="125">
        <f>AJ249*AK249</f>
        <v>0</v>
      </c>
      <c r="AM249" s="11"/>
      <c r="AN249" s="12"/>
      <c r="AO249" s="12"/>
      <c r="AP249" s="12"/>
      <c r="AQ249" s="12"/>
      <c r="AR249" s="12"/>
      <c r="AS249" s="12"/>
      <c r="AT249" s="12"/>
      <c r="AU249" s="129">
        <f>'Rate Tables'!$P$21</f>
        <v>946.76</v>
      </c>
      <c r="AV249" s="146">
        <f>AR242*AS242*F242</f>
        <v>0</v>
      </c>
      <c r="AW249" s="125">
        <f>AU249*AV249</f>
        <v>0</v>
      </c>
      <c r="AX249" s="125"/>
      <c r="AY249" s="125"/>
      <c r="AZ249" s="125"/>
      <c r="BA249" s="125"/>
      <c r="BB249" s="125"/>
      <c r="BC249" s="125"/>
      <c r="BD249" s="125"/>
      <c r="BE249" s="125"/>
      <c r="BF249" s="129">
        <f>'Rate Tables'!$P$22</f>
        <v>965.7</v>
      </c>
      <c r="BG249" s="146">
        <f>BC242*BD242*F242</f>
        <v>0</v>
      </c>
      <c r="BH249" s="125">
        <f>BF249*BG249</f>
        <v>0</v>
      </c>
      <c r="BI249" s="12" t="s">
        <v>244</v>
      </c>
      <c r="BJ249" s="12"/>
      <c r="BK249" s="307"/>
      <c r="BL249" s="12"/>
      <c r="BM249" s="12"/>
      <c r="BN249" s="285"/>
      <c r="BO249" s="12">
        <f>(BN250+BN252)*BO247</f>
        <v>0</v>
      </c>
    </row>
    <row r="250" spans="1:67" x14ac:dyDescent="0.25">
      <c r="A250" s="377" t="s">
        <v>431</v>
      </c>
      <c r="B250" s="375" t="str">
        <f>Personnel!U66</f>
        <v>YES</v>
      </c>
      <c r="C250" s="12"/>
      <c r="D250" s="12"/>
      <c r="E250" s="12"/>
      <c r="F250" s="12"/>
      <c r="G250" s="749" t="s">
        <v>559</v>
      </c>
      <c r="H250" s="12">
        <f>BK223</f>
        <v>0</v>
      </c>
      <c r="I250" s="12"/>
      <c r="J250" s="12"/>
      <c r="K250" s="12"/>
      <c r="L250" s="12"/>
      <c r="M250" s="129">
        <f>'Rate Tables'!$P$19</f>
        <v>910</v>
      </c>
      <c r="N250" s="146">
        <f>K244*L244*F244</f>
        <v>0</v>
      </c>
      <c r="O250" s="154">
        <f>M250*N250</f>
        <v>0</v>
      </c>
      <c r="P250" s="12"/>
      <c r="Q250" s="12"/>
      <c r="R250" s="12"/>
      <c r="S250" s="12"/>
      <c r="T250" s="12"/>
      <c r="U250" s="12"/>
      <c r="V250" s="12"/>
      <c r="W250" s="12"/>
      <c r="X250" s="12"/>
      <c r="Y250" s="129">
        <f>'Rate Tables'!$P$20</f>
        <v>928.2</v>
      </c>
      <c r="Z250" s="146">
        <f>U244*V244*F244</f>
        <v>10</v>
      </c>
      <c r="AA250" s="125">
        <f>Y250*Z250</f>
        <v>9282</v>
      </c>
      <c r="AB250" s="12"/>
      <c r="AC250" s="12"/>
      <c r="AD250" s="12"/>
      <c r="AE250" s="12"/>
      <c r="AF250" s="12"/>
      <c r="AG250" s="12"/>
      <c r="AH250" s="12"/>
      <c r="AI250" s="12"/>
      <c r="AJ250" s="129">
        <f>'Rate Tables'!$P$21</f>
        <v>946.76</v>
      </c>
      <c r="AK250" s="146">
        <f>AG244*AH244*F244</f>
        <v>2</v>
      </c>
      <c r="AL250" s="125">
        <f>AJ250*AK250</f>
        <v>1893.52</v>
      </c>
      <c r="AM250" s="11"/>
      <c r="AN250" s="12"/>
      <c r="AO250" s="12"/>
      <c r="AP250" s="12"/>
      <c r="AQ250" s="12"/>
      <c r="AR250" s="12"/>
      <c r="AS250" s="12"/>
      <c r="AT250" s="12"/>
      <c r="AU250" s="129">
        <f>'Rate Tables'!$P$22</f>
        <v>965.7</v>
      </c>
      <c r="AV250" s="146">
        <f>AR244*AS244*F244</f>
        <v>0</v>
      </c>
      <c r="AW250" s="125">
        <f>AU250*AV250</f>
        <v>0</v>
      </c>
      <c r="AX250" s="125"/>
      <c r="AY250" s="125"/>
      <c r="AZ250" s="125"/>
      <c r="BA250" s="125"/>
      <c r="BB250" s="125"/>
      <c r="BC250" s="125"/>
      <c r="BD250" s="125"/>
      <c r="BE250" s="125"/>
      <c r="BF250" s="129">
        <f>'Rate Tables'!$P$23</f>
        <v>985.01</v>
      </c>
      <c r="BG250" s="146">
        <f>BC244*BD244*F244</f>
        <v>0</v>
      </c>
      <c r="BH250" s="125">
        <f>BF250*BG250</f>
        <v>0</v>
      </c>
      <c r="BI250" s="12">
        <f>IF(BN250&gt;=1,1,0)</f>
        <v>0</v>
      </c>
      <c r="BJ250" s="12"/>
      <c r="BK250" s="227"/>
      <c r="BL250" s="226"/>
      <c r="BM250" s="278" t="s">
        <v>96</v>
      </c>
      <c r="BN250" s="285">
        <f>BN204+BN221+BN238</f>
        <v>0</v>
      </c>
      <c r="BO250" s="15"/>
    </row>
    <row r="251" spans="1:67" x14ac:dyDescent="0.25">
      <c r="A251" s="377"/>
      <c r="B251" s="12"/>
      <c r="C251" s="12"/>
      <c r="D251" s="12"/>
      <c r="E251" s="12"/>
      <c r="F251" s="12"/>
      <c r="G251" s="749" t="s">
        <v>560</v>
      </c>
      <c r="H251" s="178">
        <f>VLOOKUP(H240,'Lookup Tables'!$L$62:$Y$74,MATCH(G240,'Lookup Tables'!$L$62:$Y$62,FALSE))</f>
        <v>65</v>
      </c>
      <c r="I251" s="12"/>
      <c r="J251" s="12"/>
      <c r="K251" s="12"/>
      <c r="L251" s="12"/>
      <c r="M251" s="129">
        <f>'Rate Tables'!$P$20</f>
        <v>928.2</v>
      </c>
      <c r="N251" s="146">
        <f>K246*L246*F246</f>
        <v>0</v>
      </c>
      <c r="O251" s="154">
        <f>M251*N251</f>
        <v>0</v>
      </c>
      <c r="P251" s="12"/>
      <c r="Q251" s="12"/>
      <c r="R251" s="12"/>
      <c r="S251" s="12"/>
      <c r="T251" s="12"/>
      <c r="U251" s="12"/>
      <c r="V251" s="12"/>
      <c r="W251" s="12"/>
      <c r="X251" s="12"/>
      <c r="Y251" s="129">
        <f>'Rate Tables'!$P$21</f>
        <v>946.76</v>
      </c>
      <c r="Z251" s="146">
        <f>U246*V246*F246</f>
        <v>0</v>
      </c>
      <c r="AA251" s="125">
        <f>Y251*Z251</f>
        <v>0</v>
      </c>
      <c r="AB251" s="12"/>
      <c r="AC251" s="12"/>
      <c r="AD251" s="12"/>
      <c r="AE251" s="12"/>
      <c r="AF251" s="12"/>
      <c r="AG251" s="12"/>
      <c r="AH251" s="12"/>
      <c r="AI251" s="12"/>
      <c r="AJ251" s="129">
        <f>'Rate Tables'!$P$22</f>
        <v>965.7</v>
      </c>
      <c r="AK251" s="146">
        <f>AG246*AH246*F246</f>
        <v>0</v>
      </c>
      <c r="AL251" s="125">
        <f>AJ251*AK251</f>
        <v>0</v>
      </c>
      <c r="AM251" s="11"/>
      <c r="AN251" s="12"/>
      <c r="AO251" s="12"/>
      <c r="AP251" s="12"/>
      <c r="AQ251" s="12"/>
      <c r="AR251" s="12"/>
      <c r="AS251" s="12"/>
      <c r="AT251" s="12"/>
      <c r="AU251" s="129">
        <f>'Rate Tables'!$P$23</f>
        <v>985.01</v>
      </c>
      <c r="AV251" s="146">
        <f>AR246*AS246*F246</f>
        <v>0</v>
      </c>
      <c r="AW251" s="125">
        <f>AU251*AV251</f>
        <v>0</v>
      </c>
      <c r="AX251" s="125"/>
      <c r="AY251" s="125"/>
      <c r="AZ251" s="125"/>
      <c r="BA251" s="125"/>
      <c r="BB251" s="125"/>
      <c r="BC251" s="125"/>
      <c r="BD251" s="125"/>
      <c r="BE251" s="125"/>
      <c r="BF251" s="129">
        <f>'Rate Tables'!$P$24</f>
        <v>1004.71</v>
      </c>
      <c r="BG251" s="146">
        <f>BC246*BD246*F246</f>
        <v>0</v>
      </c>
      <c r="BH251" s="125">
        <f>BF251*BG251</f>
        <v>0</v>
      </c>
      <c r="BI251" s="12"/>
      <c r="BJ251" s="12"/>
      <c r="BK251" s="227"/>
      <c r="BL251" s="226"/>
      <c r="BM251" s="278"/>
      <c r="BN251" s="285"/>
      <c r="BO251" s="15"/>
    </row>
    <row r="252" spans="1:67" ht="15.75" thickBot="1" x14ac:dyDescent="0.3">
      <c r="A252" s="296" t="s">
        <v>439</v>
      </c>
      <c r="B252" s="114" t="s">
        <v>652</v>
      </c>
      <c r="C252" s="12"/>
      <c r="D252" s="12"/>
      <c r="E252" s="12"/>
      <c r="F252" s="12"/>
      <c r="G252" s="749" t="s">
        <v>555</v>
      </c>
      <c r="H252" s="175">
        <f>VLOOKUP($E$4,'Lookup Tables'!$L$46:$AA$58,MATCH($H$206,'Lookup Tables'!$L$46:$X$46),FALSE)</f>
        <v>12</v>
      </c>
      <c r="I252" s="12"/>
      <c r="J252" s="12"/>
      <c r="K252" s="12"/>
      <c r="L252" s="12"/>
      <c r="M252" s="12"/>
      <c r="N252" s="12"/>
      <c r="O252" s="155"/>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227"/>
      <c r="BL252" s="224"/>
      <c r="BM252" s="278" t="s">
        <v>415</v>
      </c>
      <c r="BN252" s="285">
        <f>BN206+BN222+BN240</f>
        <v>0</v>
      </c>
      <c r="BO252" s="15"/>
    </row>
    <row r="253" spans="1:67" ht="15.75" thickBot="1" x14ac:dyDescent="0.3">
      <c r="A253" s="380">
        <f>Personnel!U67</f>
        <v>0</v>
      </c>
      <c r="B253" s="273">
        <f>Personnel!U68</f>
        <v>0</v>
      </c>
      <c r="C253" s="12"/>
      <c r="D253" s="12"/>
      <c r="E253" s="12"/>
      <c r="F253" s="12"/>
      <c r="I253" s="12"/>
      <c r="J253" s="12"/>
      <c r="K253" s="12"/>
      <c r="L253" s="12"/>
      <c r="M253" s="12"/>
      <c r="N253" s="12"/>
      <c r="O253" s="155"/>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227"/>
      <c r="BL253" s="224"/>
      <c r="BM253" s="278" t="s">
        <v>185</v>
      </c>
      <c r="BN253" s="285">
        <f>(BN208+BN224+BN242)*BI250</f>
        <v>0</v>
      </c>
      <c r="BO253" s="373">
        <f>BN250+BN252+BN253+BO249</f>
        <v>0</v>
      </c>
    </row>
    <row r="254" spans="1:67" ht="15.75" thickBot="1" x14ac:dyDescent="0.3">
      <c r="A254" s="148"/>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49"/>
      <c r="AL254" s="149"/>
      <c r="AM254" s="149"/>
      <c r="AN254" s="149"/>
      <c r="AO254" s="149"/>
      <c r="AP254" s="149"/>
      <c r="AQ254" s="149"/>
      <c r="AR254" s="149"/>
      <c r="AS254" s="149"/>
      <c r="AT254" s="149"/>
      <c r="AU254" s="149"/>
      <c r="AV254" s="149"/>
      <c r="AW254" s="149"/>
      <c r="AX254" s="149"/>
      <c r="AY254" s="149"/>
      <c r="AZ254" s="149"/>
      <c r="BA254" s="149"/>
      <c r="BB254" s="149"/>
      <c r="BC254" s="149"/>
      <c r="BD254" s="149"/>
      <c r="BE254" s="149"/>
      <c r="BF254" s="149"/>
      <c r="BG254" s="149"/>
      <c r="BH254" s="149"/>
      <c r="BI254" s="149"/>
      <c r="BJ254" s="149"/>
      <c r="BK254" s="280"/>
      <c r="BL254" s="149"/>
      <c r="BM254" s="149"/>
      <c r="BN254" s="281"/>
      <c r="BO254" s="374"/>
    </row>
    <row r="255" spans="1:67" x14ac:dyDescent="0.25">
      <c r="A255" s="257" t="s">
        <v>195</v>
      </c>
      <c r="B255" s="359" t="str">
        <f>Personnel!C74</f>
        <v>12 Month</v>
      </c>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282"/>
      <c r="BL255" s="144"/>
      <c r="BM255" s="144"/>
      <c r="BN255" s="283"/>
      <c r="BO255" s="12"/>
    </row>
    <row r="256" spans="1:67" ht="26.25" x14ac:dyDescent="0.25">
      <c r="A256" s="258" t="s">
        <v>174</v>
      </c>
      <c r="B256" s="155" t="s">
        <v>12</v>
      </c>
      <c r="C256" s="259" t="s">
        <v>605</v>
      </c>
      <c r="D256" s="12"/>
      <c r="E256" s="12"/>
      <c r="F256" s="12"/>
      <c r="G256" s="12" t="s">
        <v>182</v>
      </c>
      <c r="H256" s="12"/>
      <c r="I256" s="12"/>
      <c r="J256" s="12"/>
      <c r="K256" s="12"/>
      <c r="L256" s="12"/>
      <c r="M256" s="12" t="s">
        <v>167</v>
      </c>
      <c r="N256" s="12"/>
      <c r="O256" s="12">
        <v>21</v>
      </c>
      <c r="P256" s="12"/>
      <c r="Q256" s="12"/>
      <c r="R256" s="12"/>
      <c r="S256" s="12"/>
      <c r="T256" s="12"/>
      <c r="U256" s="12"/>
      <c r="V256" s="12"/>
      <c r="W256" s="12"/>
      <c r="X256" s="12"/>
      <c r="Y256" s="12" t="s">
        <v>168</v>
      </c>
      <c r="Z256" s="12"/>
      <c r="AA256" s="12">
        <v>22</v>
      </c>
      <c r="AB256" s="12"/>
      <c r="AC256" s="12"/>
      <c r="AD256" s="12"/>
      <c r="AE256" s="12"/>
      <c r="AF256" s="12"/>
      <c r="AG256" s="12"/>
      <c r="AH256" s="12"/>
      <c r="AI256" s="12"/>
      <c r="AJ256" s="12" t="s">
        <v>169</v>
      </c>
      <c r="AK256" s="12"/>
      <c r="AL256" s="12">
        <v>23</v>
      </c>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227"/>
      <c r="BL256" s="12"/>
      <c r="BM256" s="12"/>
      <c r="BN256" s="275"/>
      <c r="BO256" s="12"/>
    </row>
    <row r="257" spans="1:67" x14ac:dyDescent="0.25">
      <c r="A257" s="356">
        <f>Personnel!C75</f>
        <v>0</v>
      </c>
      <c r="B257" s="357">
        <f>Personnel!C76</f>
        <v>0</v>
      </c>
      <c r="C257" s="115">
        <f>(B257*9)*2</f>
        <v>0</v>
      </c>
      <c r="D257" s="12"/>
      <c r="E257" s="12"/>
      <c r="F257" s="12"/>
      <c r="G257" s="12"/>
      <c r="H257" s="12"/>
      <c r="I257" s="12"/>
      <c r="J257" s="12"/>
      <c r="K257" s="12"/>
      <c r="L257" s="12"/>
      <c r="M257" s="12"/>
      <c r="N257" s="12"/>
      <c r="O257" s="12">
        <v>22</v>
      </c>
      <c r="P257" s="12"/>
      <c r="Q257" s="12"/>
      <c r="R257" s="12"/>
      <c r="S257" s="12"/>
      <c r="T257" s="12"/>
      <c r="U257" s="12"/>
      <c r="V257" s="12"/>
      <c r="W257" s="12"/>
      <c r="X257" s="12"/>
      <c r="Y257" s="12"/>
      <c r="Z257" s="12"/>
      <c r="AA257" s="12">
        <v>23</v>
      </c>
      <c r="AB257" s="12"/>
      <c r="AC257" s="12"/>
      <c r="AD257" s="12"/>
      <c r="AE257" s="12"/>
      <c r="AF257" s="12"/>
      <c r="AG257" s="12"/>
      <c r="AH257" s="12"/>
      <c r="AI257" s="12"/>
      <c r="AJ257" s="12"/>
      <c r="AK257" s="12"/>
      <c r="AL257" s="12">
        <v>24</v>
      </c>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306" t="s">
        <v>412</v>
      </c>
      <c r="BL257" s="348">
        <f>Personnel!W75</f>
        <v>0</v>
      </c>
      <c r="BM257" s="276" t="s">
        <v>414</v>
      </c>
      <c r="BN257" s="285">
        <f>(N259+Z259+AK259+AV259+BG259+N261+Z261+AK261+AV261+BG261+N263+Z263+AK263+AV263+BG263+N265+Z265+AK265+AV265+BG265)*BI259</f>
        <v>0</v>
      </c>
      <c r="BO257" s="15"/>
    </row>
    <row r="258" spans="1:67" x14ac:dyDescent="0.25">
      <c r="A258" s="145"/>
      <c r="B258" s="12"/>
      <c r="C258" s="117" t="s">
        <v>30</v>
      </c>
      <c r="D258" s="12"/>
      <c r="E258" s="13" t="s">
        <v>16</v>
      </c>
      <c r="F258" s="13" t="s">
        <v>42</v>
      </c>
      <c r="G258" s="13" t="s">
        <v>41</v>
      </c>
      <c r="H258" s="65" t="s">
        <v>77</v>
      </c>
      <c r="I258" s="64" t="s">
        <v>90</v>
      </c>
      <c r="J258" s="63" t="s">
        <v>70</v>
      </c>
      <c r="K258" s="52" t="s">
        <v>93</v>
      </c>
      <c r="L258" s="13" t="s">
        <v>35</v>
      </c>
      <c r="M258" s="13" t="s">
        <v>82</v>
      </c>
      <c r="N258" s="13" t="s">
        <v>31</v>
      </c>
      <c r="O258" s="14" t="s">
        <v>69</v>
      </c>
      <c r="P258" s="13" t="s">
        <v>72</v>
      </c>
      <c r="Q258" s="65" t="s">
        <v>80</v>
      </c>
      <c r="R258" s="62" t="s">
        <v>81</v>
      </c>
      <c r="S258" s="65" t="s">
        <v>77</v>
      </c>
      <c r="T258" s="600" t="s">
        <v>83</v>
      </c>
      <c r="U258" s="63" t="s">
        <v>70</v>
      </c>
      <c r="V258" s="13" t="s">
        <v>91</v>
      </c>
      <c r="W258" s="13" t="s">
        <v>43</v>
      </c>
      <c r="X258" s="13" t="s">
        <v>53</v>
      </c>
      <c r="Y258" s="13" t="s">
        <v>68</v>
      </c>
      <c r="Z258" s="13" t="s">
        <v>32</v>
      </c>
      <c r="AA258" s="14" t="s">
        <v>69</v>
      </c>
      <c r="AB258" s="13" t="s">
        <v>72</v>
      </c>
      <c r="AC258" s="13" t="s">
        <v>80</v>
      </c>
      <c r="AD258" s="62" t="s">
        <v>81</v>
      </c>
      <c r="AE258" s="65" t="s">
        <v>77</v>
      </c>
      <c r="AF258" s="63" t="s">
        <v>70</v>
      </c>
      <c r="AG258" s="13" t="s">
        <v>92</v>
      </c>
      <c r="AH258" s="13" t="s">
        <v>44</v>
      </c>
      <c r="AI258" s="13" t="s">
        <v>78</v>
      </c>
      <c r="AJ258" s="13" t="s">
        <v>68</v>
      </c>
      <c r="AK258" s="13" t="s">
        <v>33</v>
      </c>
      <c r="AL258" s="14" t="s">
        <v>69</v>
      </c>
      <c r="AM258" s="13" t="s">
        <v>72</v>
      </c>
      <c r="AN258" s="13" t="s">
        <v>80</v>
      </c>
      <c r="AO258" s="62" t="s">
        <v>81</v>
      </c>
      <c r="AP258" s="65" t="s">
        <v>77</v>
      </c>
      <c r="AQ258" s="63" t="s">
        <v>70</v>
      </c>
      <c r="AR258" s="13" t="s">
        <v>92</v>
      </c>
      <c r="AS258" s="13" t="s">
        <v>44</v>
      </c>
      <c r="AT258" s="13" t="s">
        <v>78</v>
      </c>
      <c r="AU258" s="13" t="s">
        <v>68</v>
      </c>
      <c r="AV258" s="13" t="s">
        <v>33</v>
      </c>
      <c r="AW258" s="14" t="s">
        <v>69</v>
      </c>
      <c r="AX258" s="13" t="s">
        <v>72</v>
      </c>
      <c r="AY258" s="13" t="s">
        <v>80</v>
      </c>
      <c r="AZ258" s="62" t="s">
        <v>81</v>
      </c>
      <c r="BA258" s="65" t="s">
        <v>77</v>
      </c>
      <c r="BB258" s="63" t="s">
        <v>70</v>
      </c>
      <c r="BC258" s="13" t="s">
        <v>92</v>
      </c>
      <c r="BD258" s="13" t="s">
        <v>44</v>
      </c>
      <c r="BE258" s="13" t="s">
        <v>78</v>
      </c>
      <c r="BF258" s="13" t="s">
        <v>68</v>
      </c>
      <c r="BG258" s="13" t="s">
        <v>33</v>
      </c>
      <c r="BH258" s="14" t="s">
        <v>69</v>
      </c>
      <c r="BI258" s="13" t="s">
        <v>159</v>
      </c>
      <c r="BJ258" s="12"/>
      <c r="BK258" s="227"/>
      <c r="BL258" s="349"/>
      <c r="BM258" s="227"/>
      <c r="BN258" s="285"/>
      <c r="BO258" s="15"/>
    </row>
    <row r="259" spans="1:67" x14ac:dyDescent="0.25">
      <c r="A259" s="145"/>
      <c r="B259" s="12"/>
      <c r="C259" s="115"/>
      <c r="D259" s="12"/>
      <c r="E259" s="118">
        <f>BL257</f>
        <v>0</v>
      </c>
      <c r="F259" s="19">
        <f>IF($D$4=2022,1,0)</f>
        <v>0</v>
      </c>
      <c r="G259" s="178">
        <f>IF($B303="Yes",$C$5,$I302)</f>
        <v>12</v>
      </c>
      <c r="H259" s="36">
        <f>VLOOKUP(H301,'Lookup Tables'!$A$22:$B$33,2,FALSE)</f>
        <v>3</v>
      </c>
      <c r="I259" s="192">
        <f>VLOOKUP($E$4,'Lookup Tables'!$AB$46:$AN$58,MATCH($H259,'Lookup Tables'!$AB$46:$AN$46),FALSE)</f>
        <v>12</v>
      </c>
      <c r="J259" s="33">
        <f>VLOOKUP(H259,'Lookup Tables'!$A$3:$AA$16,MATCH(PersonCalcYr3!$G259,'Lookup Tables'!$A$3:$AA$3),FALSE)</f>
        <v>1.5161</v>
      </c>
      <c r="K259" s="54">
        <f>VLOOKUP($H301,'Lookup Tables'!$K$23:$L$34,2,FALSE)</f>
        <v>0</v>
      </c>
      <c r="L259" s="12">
        <f>IF(G259&lt;=K259,G259,K259)</f>
        <v>0</v>
      </c>
      <c r="M259" s="195">
        <f>IF(12-I259&gt;=1,1,0)</f>
        <v>0</v>
      </c>
      <c r="N259" s="15">
        <f>(('Rate Tables'!B77*PersonCalcYr3!E259)*PersonCalcYr3!L259)*PersonCalcYr3!F259*M259</f>
        <v>0</v>
      </c>
      <c r="O259" s="28">
        <f>G259-((J259+L259)*M259)</f>
        <v>12</v>
      </c>
      <c r="P259" s="8">
        <f>IF(O259&lt;0,O259*0,1)*O259</f>
        <v>12</v>
      </c>
      <c r="Q259" s="120">
        <f>VLOOKUP($H301,'Lookup Tables'!$A$22:$B$33,2,FALSE)+(L259*M259)+(J259*M259)</f>
        <v>3</v>
      </c>
      <c r="R259" s="121" t="str">
        <f>VLOOKUP(Q259,'Lookup Tables'!$A$38:$B$151,2,FALSE)</f>
        <v>Sept</v>
      </c>
      <c r="S259" s="36">
        <f>VLOOKUP(R259,'Lookup Tables'!$A$22:$B$33,2,FALSE)</f>
        <v>3</v>
      </c>
      <c r="T259" s="599">
        <f>VLOOKUP($E$4,'Lookup Tables'!$AB$63:$AN$75,MATCH(PersonCalcYr3!$S259,'Lookup Tables'!$AB$63:$AN$63),FALSE)</f>
        <v>0.5161</v>
      </c>
      <c r="U259" s="34">
        <f>VLOOKUP(S259,'Lookup Tables'!$A$3:$AA$16,MATCH(PersonCalcYr3!$P259,'Lookup Tables'!$A$3:$AA$3),FALSE)</f>
        <v>1.5161</v>
      </c>
      <c r="V259" s="12">
        <f>9-T259</f>
        <v>8.4839000000000002</v>
      </c>
      <c r="W259" s="122">
        <f>P259-U259</f>
        <v>10.4839</v>
      </c>
      <c r="X259" s="119">
        <f>IF(V259&lt;=W259,V259,W259)</f>
        <v>8.4839000000000002</v>
      </c>
      <c r="Y259" s="195">
        <f>IF(12-T259-U259-X259&gt;=0,1,0)</f>
        <v>1</v>
      </c>
      <c r="Z259" s="20">
        <f>((('Rate Tables'!C77*$E259)*PersonCalcYr3!$X259)*$F259)*Y259</f>
        <v>0</v>
      </c>
      <c r="AA259" s="197">
        <f>O259-(((U259*U267)+X259)*Y259)</f>
        <v>2</v>
      </c>
      <c r="AB259" s="8">
        <f>IF(AA259&lt;0,AA259*0,1)*AA259</f>
        <v>2</v>
      </c>
      <c r="AC259" s="601">
        <f>S259+(X259*Y259)+((U259*U267)*Y259)</f>
        <v>13</v>
      </c>
      <c r="AD259" s="121" t="str">
        <f>VLOOKUP(AC259,'Lookup Tables'!$A$38:$B$151,2,FALSE)</f>
        <v>July</v>
      </c>
      <c r="AE259" s="36">
        <f>VLOOKUP(AD259,'Lookup Tables'!$A$22:$B$33,2,FALSE)</f>
        <v>1</v>
      </c>
      <c r="AF259" s="34">
        <f>VLOOKUP(AE259,'Lookup Tables'!$A$3:$AA$16,MATCH(PersonCalcYr3!AB259,'Lookup Tables'!$A$3:$AA$3),FALSE)</f>
        <v>1.4839</v>
      </c>
      <c r="AG259" s="12">
        <v>9</v>
      </c>
      <c r="AH259" s="122">
        <f>AB259-AF259</f>
        <v>0.5161</v>
      </c>
      <c r="AI259" s="119">
        <f>IF(AG259&lt;=AH259,AG259,AH259)</f>
        <v>0.5161</v>
      </c>
      <c r="AJ259" s="119">
        <f>IF((AG259+AF259)&lt;=0,0,1)</f>
        <v>1</v>
      </c>
      <c r="AK259" s="124">
        <f>((('Rate Tables'!D77*$E259)*PersonCalcYr3!AI259)*$F259)*AJ259</f>
        <v>0</v>
      </c>
      <c r="AL259" s="28">
        <f>AB259-AF259-AI259</f>
        <v>0</v>
      </c>
      <c r="AM259" s="8">
        <f>IF(AL259&lt;0,AL259*0,1)*AL259</f>
        <v>0</v>
      </c>
      <c r="AN259" s="601">
        <f>AE259+(AI259*AJ259)+((AF259*AF267)*AJ259)</f>
        <v>3</v>
      </c>
      <c r="AO259" s="121" t="str">
        <f>VLOOKUP(AN259,'Lookup Tables'!$A$38:$B$151,2,FALSE)</f>
        <v>Sept</v>
      </c>
      <c r="AP259" s="36">
        <f>VLOOKUP(AO259,'Lookup Tables'!$A$22:$B$33,2,FALSE)</f>
        <v>3</v>
      </c>
      <c r="AQ259" s="34">
        <f>VLOOKUP(AP259,'Lookup Tables'!$A$3:$AA$16,MATCH(PersonCalcYr3!AM259,'Lookup Tables'!$A$3:$AA$3),FALSE)</f>
        <v>0</v>
      </c>
      <c r="AR259" s="12">
        <v>9</v>
      </c>
      <c r="AS259" s="122">
        <f>AM259-AQ259</f>
        <v>0</v>
      </c>
      <c r="AT259" s="119">
        <f>IF(AR259&lt;=AS259,AR259,AS259)</f>
        <v>0</v>
      </c>
      <c r="AU259" s="119">
        <f>IF((AR259+AQ259)&lt;=0,0,1)</f>
        <v>1</v>
      </c>
      <c r="AV259" s="124">
        <f>((('Rate Tables'!E77*$E259)*PersonCalcYr3!AT259)*$F259)*AU259</f>
        <v>0</v>
      </c>
      <c r="AW259" s="28">
        <f>AM259-AQ259-AT259</f>
        <v>0</v>
      </c>
      <c r="AX259" s="8">
        <f>IF(AW259&lt;0,AW259*0,1)*AW259</f>
        <v>0</v>
      </c>
      <c r="AY259" s="601">
        <f>AP259+(AT259*AU259)+((AQ259*AQ267)*AU259)</f>
        <v>3</v>
      </c>
      <c r="AZ259" s="121" t="str">
        <f>VLOOKUP(AY259,'Lookup Tables'!$A$38:$B$151,2,FALSE)</f>
        <v>Sept</v>
      </c>
      <c r="BA259" s="36">
        <f>VLOOKUP(AZ259,'Lookup Tables'!$A$22:$B$33,2,FALSE)</f>
        <v>3</v>
      </c>
      <c r="BB259" s="34">
        <f>VLOOKUP(BA259,'Lookup Tables'!$A$3:$AA$16,MATCH(PersonCalcYr3!AX259,'Lookup Tables'!$A$3:$AA$3),FALSE)</f>
        <v>0</v>
      </c>
      <c r="BC259" s="12">
        <v>9</v>
      </c>
      <c r="BD259" s="122">
        <f>AX259-BB259</f>
        <v>0</v>
      </c>
      <c r="BE259" s="119">
        <f>IF(BC259&lt;=BD259,BC259,BD259)</f>
        <v>0</v>
      </c>
      <c r="BF259" s="119">
        <f>IF((BC259+BB259)&lt;=0,0,1)</f>
        <v>1</v>
      </c>
      <c r="BG259" s="124">
        <f>((('Rate Tables'!F77*$E259)*PersonCalcYr3!BE259)*$F259)*BF259</f>
        <v>0</v>
      </c>
      <c r="BH259" s="28">
        <f>AX259-BB259-BE259</f>
        <v>0</v>
      </c>
      <c r="BI259" s="19">
        <f>VLOOKUP(B255,'Lookup Tables'!$AK$22:$AM$24,2,0)</f>
        <v>0</v>
      </c>
      <c r="BJ259" s="12"/>
      <c r="BK259" s="227"/>
      <c r="BL259" s="350"/>
      <c r="BM259" s="276" t="s">
        <v>184</v>
      </c>
      <c r="BN259" s="285">
        <f>BN257*'Rate Tables'!P$8</f>
        <v>0</v>
      </c>
      <c r="BO259" s="15"/>
    </row>
    <row r="260" spans="1:67" x14ac:dyDescent="0.25">
      <c r="A260" s="145"/>
      <c r="B260" s="12"/>
      <c r="C260" s="117" t="s">
        <v>597</v>
      </c>
      <c r="D260" s="12"/>
      <c r="E260" s="13" t="s">
        <v>16</v>
      </c>
      <c r="F260" s="13" t="s">
        <v>42</v>
      </c>
      <c r="G260" s="13" t="s">
        <v>41</v>
      </c>
      <c r="H260" s="65" t="s">
        <v>77</v>
      </c>
      <c r="I260" s="64" t="s">
        <v>90</v>
      </c>
      <c r="J260" s="63" t="s">
        <v>70</v>
      </c>
      <c r="K260" s="52" t="s">
        <v>109</v>
      </c>
      <c r="L260" s="13" t="s">
        <v>53</v>
      </c>
      <c r="M260" s="13" t="s">
        <v>82</v>
      </c>
      <c r="N260" s="13" t="s">
        <v>32</v>
      </c>
      <c r="O260" s="14" t="s">
        <v>69</v>
      </c>
      <c r="P260" s="13" t="s">
        <v>72</v>
      </c>
      <c r="Q260" s="65" t="s">
        <v>80</v>
      </c>
      <c r="R260" s="62" t="s">
        <v>81</v>
      </c>
      <c r="S260" s="65" t="s">
        <v>77</v>
      </c>
      <c r="T260" s="600" t="s">
        <v>83</v>
      </c>
      <c r="U260" s="63" t="s">
        <v>70</v>
      </c>
      <c r="V260" s="13" t="s">
        <v>92</v>
      </c>
      <c r="W260" s="13" t="s">
        <v>44</v>
      </c>
      <c r="X260" s="13" t="s">
        <v>78</v>
      </c>
      <c r="Y260" s="13" t="s">
        <v>68</v>
      </c>
      <c r="Z260" s="13" t="s">
        <v>33</v>
      </c>
      <c r="AA260" s="14" t="s">
        <v>69</v>
      </c>
      <c r="AB260" s="13" t="s">
        <v>72</v>
      </c>
      <c r="AC260" s="13" t="s">
        <v>80</v>
      </c>
      <c r="AD260" s="62" t="s">
        <v>81</v>
      </c>
      <c r="AE260" s="65" t="s">
        <v>77</v>
      </c>
      <c r="AF260" s="63" t="s">
        <v>70</v>
      </c>
      <c r="AG260" s="13" t="s">
        <v>94</v>
      </c>
      <c r="AH260" s="13" t="s">
        <v>45</v>
      </c>
      <c r="AI260" s="13" t="s">
        <v>79</v>
      </c>
      <c r="AJ260" s="13" t="s">
        <v>68</v>
      </c>
      <c r="AK260" s="13" t="s">
        <v>34</v>
      </c>
      <c r="AL260" s="14" t="s">
        <v>69</v>
      </c>
      <c r="AM260" s="13" t="s">
        <v>72</v>
      </c>
      <c r="AN260" s="13" t="s">
        <v>80</v>
      </c>
      <c r="AO260" s="62" t="s">
        <v>81</v>
      </c>
      <c r="AP260" s="65" t="s">
        <v>77</v>
      </c>
      <c r="AQ260" s="63" t="s">
        <v>70</v>
      </c>
      <c r="AR260" s="13" t="s">
        <v>94</v>
      </c>
      <c r="AS260" s="13" t="s">
        <v>45</v>
      </c>
      <c r="AT260" s="13" t="s">
        <v>79</v>
      </c>
      <c r="AU260" s="13" t="s">
        <v>68</v>
      </c>
      <c r="AV260" s="13" t="s">
        <v>34</v>
      </c>
      <c r="AW260" s="14" t="s">
        <v>69</v>
      </c>
      <c r="AX260" s="13" t="s">
        <v>72</v>
      </c>
      <c r="AY260" s="13" t="s">
        <v>80</v>
      </c>
      <c r="AZ260" s="62" t="s">
        <v>81</v>
      </c>
      <c r="BA260" s="65" t="s">
        <v>77</v>
      </c>
      <c r="BB260" s="63" t="s">
        <v>70</v>
      </c>
      <c r="BC260" s="13" t="s">
        <v>94</v>
      </c>
      <c r="BD260" s="13" t="s">
        <v>45</v>
      </c>
      <c r="BE260" s="13" t="s">
        <v>79</v>
      </c>
      <c r="BF260" s="13" t="s">
        <v>68</v>
      </c>
      <c r="BG260" s="13" t="s">
        <v>34</v>
      </c>
      <c r="BH260" s="14" t="s">
        <v>69</v>
      </c>
      <c r="BI260" s="13"/>
      <c r="BJ260" s="12"/>
      <c r="BK260" s="227"/>
      <c r="BL260" s="351"/>
      <c r="BM260" s="227"/>
      <c r="BN260" s="285"/>
      <c r="BO260" s="15"/>
    </row>
    <row r="261" spans="1:67" x14ac:dyDescent="0.25">
      <c r="A261" s="145"/>
      <c r="B261" s="12"/>
      <c r="C261" s="115"/>
      <c r="D261" s="12"/>
      <c r="E261" s="118">
        <f>BL257</f>
        <v>0</v>
      </c>
      <c r="F261" s="19">
        <f>IF($D$4=2023,1,0)</f>
        <v>0</v>
      </c>
      <c r="G261" s="178">
        <f>IF($B303="Yes",$C$5,$I302)</f>
        <v>12</v>
      </c>
      <c r="H261" s="36">
        <f>VLOOKUP(H301,'Lookup Tables'!$A$22:$B$33,2,FALSE)</f>
        <v>3</v>
      </c>
      <c r="I261" s="192">
        <f>VLOOKUP($E$4,'Lookup Tables'!$AB$46:$AN$58,MATCH($H261,'Lookup Tables'!$AB$46:$AN$46),FALSE)</f>
        <v>12</v>
      </c>
      <c r="J261" s="33">
        <f>VLOOKUP(H261,'Lookup Tables'!$A$3:$AA$16,MATCH(PersonCalcYr3!$G261,'Lookup Tables'!$A$3:$AA$3),FALSE)</f>
        <v>1.5161</v>
      </c>
      <c r="K261" s="54">
        <f>VLOOKUP($H301,'Lookup Tables'!$K$23:$L$34,2,FALSE)</f>
        <v>0</v>
      </c>
      <c r="L261" s="12">
        <f>IF(G261&lt;=K261,G261,K261)</f>
        <v>0</v>
      </c>
      <c r="M261" s="195">
        <f>IF(12-I261&gt;=1,1,0)</f>
        <v>0</v>
      </c>
      <c r="N261" s="15">
        <f>(('Rate Tables'!C77*PersonCalcYr3!E261)*PersonCalcYr3!L261)*PersonCalcYr3!F261*M261</f>
        <v>0</v>
      </c>
      <c r="O261" s="28">
        <f>G261-((J261+L261)*M261)</f>
        <v>12</v>
      </c>
      <c r="P261" s="8">
        <f>IF(O261&lt;0,O261*0,1)*O261</f>
        <v>12</v>
      </c>
      <c r="Q261" s="120">
        <f>VLOOKUP($H301,'Lookup Tables'!$A$22:$B$33,2,FALSE)+(L261*M261)+(J261*M261)</f>
        <v>3</v>
      </c>
      <c r="R261" s="121" t="str">
        <f>VLOOKUP(Q261,'Lookup Tables'!$A$38:$B$151,2,FALSE)</f>
        <v>Sept</v>
      </c>
      <c r="S261" s="36">
        <f>VLOOKUP(R261,'Lookup Tables'!$A$22:$B$33,2,FALSE)</f>
        <v>3</v>
      </c>
      <c r="T261" s="599">
        <f>VLOOKUP($E$4,'Lookup Tables'!$AB$63:$AN$75,MATCH(PersonCalcYr3!$S261,'Lookup Tables'!$AB$63:$AN$63),FALSE)</f>
        <v>0.5161</v>
      </c>
      <c r="U261" s="34">
        <f>VLOOKUP(S261,'Lookup Tables'!$A$3:$AA$16,MATCH(PersonCalcYr3!$P261,'Lookup Tables'!$A$3:$AA$3),FALSE)</f>
        <v>1.5161</v>
      </c>
      <c r="V261" s="12">
        <f>9-T261</f>
        <v>8.4839000000000002</v>
      </c>
      <c r="W261" s="122">
        <f>P261-U261</f>
        <v>10.4839</v>
      </c>
      <c r="X261" s="119">
        <f>IF(V261&lt;=W261,V261,W261)</f>
        <v>8.4839000000000002</v>
      </c>
      <c r="Y261" s="195">
        <f>IF(12-T261-U261-X261&gt;=0,1,0)</f>
        <v>1</v>
      </c>
      <c r="Z261" s="20">
        <f>((('Rate Tables'!D77*$E261)*PersonCalcYr3!$X261)*$F261)*Y261</f>
        <v>0</v>
      </c>
      <c r="AA261" s="197">
        <f>O261-(((U261*U267)+X261)*Y261)</f>
        <v>2</v>
      </c>
      <c r="AB261" s="8">
        <f>IF(AA261&lt;0,AA261*0,1)*AA261</f>
        <v>2</v>
      </c>
      <c r="AC261" s="601">
        <f>S261+(X261*Y261)+((U261*U267)*Y261)</f>
        <v>13</v>
      </c>
      <c r="AD261" s="121" t="str">
        <f>VLOOKUP(AC261,'Lookup Tables'!$A$38:$B$151,2,FALSE)</f>
        <v>July</v>
      </c>
      <c r="AE261" s="36">
        <f>VLOOKUP(AD261,'Lookup Tables'!$A$22:$B$33,2,FALSE)</f>
        <v>1</v>
      </c>
      <c r="AF261" s="34">
        <f>VLOOKUP(AE261,'Lookup Tables'!$A$3:$AA$16,MATCH(PersonCalcYr3!AB261,'Lookup Tables'!$A$3:$AA$3),FALSE)</f>
        <v>1.4839</v>
      </c>
      <c r="AG261" s="12">
        <v>9</v>
      </c>
      <c r="AH261" s="122">
        <f>AB261-AF261</f>
        <v>0.5161</v>
      </c>
      <c r="AI261" s="119">
        <f>IF(AG261&lt;=AH261,AG261,AH261)</f>
        <v>0.5161</v>
      </c>
      <c r="AJ261" s="119">
        <f>IF((AG261+AF261)&lt;=0,0,1)</f>
        <v>1</v>
      </c>
      <c r="AK261" s="124">
        <f>((('Rate Tables'!E77*$E261)*PersonCalcYr3!AI261)*$F261)*AJ261</f>
        <v>0</v>
      </c>
      <c r="AL261" s="28">
        <f>AB261-AF261-AI261</f>
        <v>0</v>
      </c>
      <c r="AM261" s="8">
        <f>IF(AL261&lt;0,AL261*0,1)*AL261</f>
        <v>0</v>
      </c>
      <c r="AN261" s="601">
        <f>AE261+(AI261*AJ261)+((AF261*AF267)*AJ261)</f>
        <v>3</v>
      </c>
      <c r="AO261" s="121" t="str">
        <f>VLOOKUP(AN261,'Lookup Tables'!$A$38:$B$151,2,FALSE)</f>
        <v>Sept</v>
      </c>
      <c r="AP261" s="36">
        <f>VLOOKUP(AO261,'Lookup Tables'!$A$22:$B$33,2,FALSE)</f>
        <v>3</v>
      </c>
      <c r="AQ261" s="34">
        <f>VLOOKUP(AP261,'Lookup Tables'!$A$3:$AA$16,MATCH(PersonCalcYr3!AM261,'Lookup Tables'!$A$3:$AA$3),FALSE)</f>
        <v>0</v>
      </c>
      <c r="AR261" s="12">
        <v>9</v>
      </c>
      <c r="AS261" s="122">
        <f>AM261-AQ261</f>
        <v>0</v>
      </c>
      <c r="AT261" s="119">
        <f>IF(AR261&lt;=AS261,AR261,AS261)</f>
        <v>0</v>
      </c>
      <c r="AU261" s="119">
        <f>IF((AR261+AQ261)&lt;=0,0,1)</f>
        <v>1</v>
      </c>
      <c r="AV261" s="124">
        <f>((('Rate Tables'!F77*$E261)*PersonCalcYr3!AT261)*$F261)*AU261</f>
        <v>0</v>
      </c>
      <c r="AW261" s="28">
        <f>AM261-AQ261-AT261</f>
        <v>0</v>
      </c>
      <c r="AX261" s="8">
        <f>IF(AW261&lt;0,AW261*0,1)*AW261</f>
        <v>0</v>
      </c>
      <c r="AY261" s="601">
        <f>AP261+(AT261*AU261)+((AQ261*AQ267)*AU261)</f>
        <v>3</v>
      </c>
      <c r="AZ261" s="121" t="str">
        <f>VLOOKUP(AY261,'Lookup Tables'!$A$38:$B$151,2,FALSE)</f>
        <v>Sept</v>
      </c>
      <c r="BA261" s="36">
        <f>VLOOKUP(AZ261,'Lookup Tables'!$A$22:$B$33,2,FALSE)</f>
        <v>3</v>
      </c>
      <c r="BB261" s="34">
        <f>VLOOKUP(BA261,'Lookup Tables'!$A$3:$AA$16,MATCH(PersonCalcYr3!AX261,'Lookup Tables'!$A$3:$AA$3),FALSE)</f>
        <v>0</v>
      </c>
      <c r="BC261" s="12">
        <v>9</v>
      </c>
      <c r="BD261" s="122">
        <f>AX261-BB261</f>
        <v>0</v>
      </c>
      <c r="BE261" s="119">
        <f>IF(BC261&lt;=BD261,BC261,BD261)</f>
        <v>0</v>
      </c>
      <c r="BF261" s="119">
        <f>IF((BC261+BB261)&lt;=0,0,1)</f>
        <v>1</v>
      </c>
      <c r="BG261" s="124">
        <f>((('Rate Tables'!G77*$E261)*PersonCalcYr3!BE261)*$F261)*BF261</f>
        <v>0</v>
      </c>
      <c r="BH261" s="28">
        <f>AX261-BB261-BE261</f>
        <v>0</v>
      </c>
      <c r="BI261" s="19"/>
      <c r="BJ261" s="12"/>
      <c r="BK261" s="1199" t="s">
        <v>580</v>
      </c>
      <c r="BL261" s="349"/>
      <c r="BM261" s="276" t="s">
        <v>134</v>
      </c>
      <c r="BN261" s="285">
        <f>(((O267+O268+O269+O270+AA267+AA268+AA269+AA270+AL267+AL268+AL269+AL270+AW267+AW268+AW269+AW270+BH267+BH268+BH269+BH270)*BI267)*BN266)*BL268</f>
        <v>0</v>
      </c>
      <c r="BO261" s="15"/>
    </row>
    <row r="262" spans="1:67" x14ac:dyDescent="0.25">
      <c r="A262" s="145"/>
      <c r="B262" s="12"/>
      <c r="C262" s="117" t="s">
        <v>664</v>
      </c>
      <c r="D262" s="12"/>
      <c r="E262" s="13" t="s">
        <v>16</v>
      </c>
      <c r="F262" s="13" t="s">
        <v>42</v>
      </c>
      <c r="G262" s="13" t="s">
        <v>41</v>
      </c>
      <c r="H262" s="65" t="s">
        <v>77</v>
      </c>
      <c r="I262" s="64" t="s">
        <v>90</v>
      </c>
      <c r="J262" s="63" t="s">
        <v>70</v>
      </c>
      <c r="K262" s="52" t="s">
        <v>109</v>
      </c>
      <c r="L262" s="13" t="s">
        <v>53</v>
      </c>
      <c r="M262" s="13" t="s">
        <v>82</v>
      </c>
      <c r="N262" s="13" t="s">
        <v>32</v>
      </c>
      <c r="O262" s="14" t="s">
        <v>69</v>
      </c>
      <c r="P262" s="13" t="s">
        <v>72</v>
      </c>
      <c r="Q262" s="65" t="s">
        <v>80</v>
      </c>
      <c r="R262" s="62" t="s">
        <v>81</v>
      </c>
      <c r="S262" s="65" t="s">
        <v>77</v>
      </c>
      <c r="T262" s="600" t="s">
        <v>83</v>
      </c>
      <c r="U262" s="63" t="s">
        <v>70</v>
      </c>
      <c r="V262" s="13" t="s">
        <v>92</v>
      </c>
      <c r="W262" s="13" t="s">
        <v>44</v>
      </c>
      <c r="X262" s="13" t="s">
        <v>78</v>
      </c>
      <c r="Y262" s="13" t="s">
        <v>68</v>
      </c>
      <c r="Z262" s="13" t="s">
        <v>33</v>
      </c>
      <c r="AA262" s="14" t="s">
        <v>69</v>
      </c>
      <c r="AB262" s="13" t="s">
        <v>72</v>
      </c>
      <c r="AC262" s="13" t="s">
        <v>80</v>
      </c>
      <c r="AD262" s="62" t="s">
        <v>81</v>
      </c>
      <c r="AE262" s="65" t="s">
        <v>77</v>
      </c>
      <c r="AF262" s="63" t="s">
        <v>70</v>
      </c>
      <c r="AG262" s="13" t="s">
        <v>94</v>
      </c>
      <c r="AH262" s="13" t="s">
        <v>45</v>
      </c>
      <c r="AI262" s="13" t="s">
        <v>79</v>
      </c>
      <c r="AJ262" s="13" t="s">
        <v>68</v>
      </c>
      <c r="AK262" s="13" t="s">
        <v>34</v>
      </c>
      <c r="AL262" s="14" t="s">
        <v>69</v>
      </c>
      <c r="AM262" s="13" t="s">
        <v>72</v>
      </c>
      <c r="AN262" s="13" t="s">
        <v>80</v>
      </c>
      <c r="AO262" s="62" t="s">
        <v>81</v>
      </c>
      <c r="AP262" s="65" t="s">
        <v>77</v>
      </c>
      <c r="AQ262" s="63" t="s">
        <v>70</v>
      </c>
      <c r="AR262" s="13" t="s">
        <v>94</v>
      </c>
      <c r="AS262" s="13" t="s">
        <v>45</v>
      </c>
      <c r="AT262" s="13" t="s">
        <v>79</v>
      </c>
      <c r="AU262" s="13" t="s">
        <v>68</v>
      </c>
      <c r="AV262" s="13" t="s">
        <v>34</v>
      </c>
      <c r="AW262" s="14" t="s">
        <v>69</v>
      </c>
      <c r="AX262" s="13" t="s">
        <v>72</v>
      </c>
      <c r="AY262" s="13" t="s">
        <v>80</v>
      </c>
      <c r="AZ262" s="62" t="s">
        <v>81</v>
      </c>
      <c r="BA262" s="65" t="s">
        <v>77</v>
      </c>
      <c r="BB262" s="63" t="s">
        <v>70</v>
      </c>
      <c r="BC262" s="13" t="s">
        <v>94</v>
      </c>
      <c r="BD262" s="13" t="s">
        <v>45</v>
      </c>
      <c r="BE262" s="13" t="s">
        <v>79</v>
      </c>
      <c r="BF262" s="13" t="s">
        <v>68</v>
      </c>
      <c r="BG262" s="13" t="s">
        <v>34</v>
      </c>
      <c r="BH262" s="14" t="s">
        <v>69</v>
      </c>
      <c r="BI262" s="19"/>
      <c r="BJ262" s="12"/>
      <c r="BK262" s="1199"/>
      <c r="BL262" s="349"/>
      <c r="BM262" s="276"/>
      <c r="BN262" s="285"/>
      <c r="BO262" s="15"/>
    </row>
    <row r="263" spans="1:67" x14ac:dyDescent="0.25">
      <c r="A263" s="145"/>
      <c r="B263" s="12"/>
      <c r="C263" s="115"/>
      <c r="D263" s="12"/>
      <c r="E263" s="118">
        <f>BL257</f>
        <v>0</v>
      </c>
      <c r="F263" s="19">
        <f>IF($D$4=2024,1,0)</f>
        <v>1</v>
      </c>
      <c r="G263" s="178">
        <f>IF($B303="Yes",$C$5,$I302)</f>
        <v>12</v>
      </c>
      <c r="H263" s="36">
        <f>VLOOKUP(H301,'Lookup Tables'!$A$22:$B$33,2,FALSE)</f>
        <v>3</v>
      </c>
      <c r="I263" s="192">
        <f>VLOOKUP($E$4,'Lookup Tables'!$AB$46:$AN$58,MATCH($H263,'Lookup Tables'!$AB$46:$AN$46),FALSE)</f>
        <v>12</v>
      </c>
      <c r="J263" s="33">
        <f>VLOOKUP(H263,'Lookup Tables'!$A$3:$AA$16,MATCH(PersonCalcYr3!$G263,'Lookup Tables'!$A$3:$AA$3),FALSE)</f>
        <v>1.5161</v>
      </c>
      <c r="K263" s="54">
        <f>VLOOKUP($H301,'Lookup Tables'!$K$23:$L$34,2,FALSE)</f>
        <v>0</v>
      </c>
      <c r="L263" s="12">
        <f>IF(G263&lt;=K263,G263,K263)</f>
        <v>0</v>
      </c>
      <c r="M263" s="195">
        <f>IF(12-I263&gt;=1,1,0)</f>
        <v>0</v>
      </c>
      <c r="N263" s="15">
        <f>(('Rate Tables'!D77*PersonCalcYr3!E263)*PersonCalcYr3!L263)*PersonCalcYr3!F263*M263</f>
        <v>0</v>
      </c>
      <c r="O263" s="28">
        <f>G263-((J263+L263)*M263)</f>
        <v>12</v>
      </c>
      <c r="P263" s="8">
        <f>IF(O263&lt;0,O263*0,1)*O263</f>
        <v>12</v>
      </c>
      <c r="Q263" s="120">
        <f>VLOOKUP($H301,'Lookup Tables'!$A$22:$B$33,2,FALSE)+(L263*M263)+(J263*M263)</f>
        <v>3</v>
      </c>
      <c r="R263" s="121" t="str">
        <f>VLOOKUP(Q263,'Lookup Tables'!$A$38:$B$151,2,FALSE)</f>
        <v>Sept</v>
      </c>
      <c r="S263" s="36">
        <f>VLOOKUP(R263,'Lookup Tables'!$A$22:$B$33,2,FALSE)</f>
        <v>3</v>
      </c>
      <c r="T263" s="599">
        <f>VLOOKUP($E$4,'Lookup Tables'!$AB$63:$AN$75,MATCH(PersonCalcYr3!$S263,'Lookup Tables'!$AB$63:$AN$63),FALSE)</f>
        <v>0.5161</v>
      </c>
      <c r="U263" s="34">
        <f>VLOOKUP(S263,'Lookup Tables'!$A$3:$AA$16,MATCH(PersonCalcYr3!$P263,'Lookup Tables'!$A$3:$AA$3),FALSE)</f>
        <v>1.5161</v>
      </c>
      <c r="V263" s="12">
        <f>9-T263</f>
        <v>8.4839000000000002</v>
      </c>
      <c r="W263" s="122">
        <f>P263-U263</f>
        <v>10.4839</v>
      </c>
      <c r="X263" s="119">
        <f>IF(V263&lt;=W263,V263,W263)</f>
        <v>8.4839000000000002</v>
      </c>
      <c r="Y263" s="195">
        <f>IF(12-T263-U263-X263&gt;=0,1,0)</f>
        <v>1</v>
      </c>
      <c r="Z263" s="20">
        <f>((('Rate Tables'!E77*$E263)*PersonCalcYr3!$X263)*$F263)*Y263</f>
        <v>0</v>
      </c>
      <c r="AA263" s="197">
        <f>O263-(((U263*U267)+X263)*Y263)</f>
        <v>2</v>
      </c>
      <c r="AB263" s="8">
        <f>IF(AA263&lt;0,AA263*0,1)*AA263</f>
        <v>2</v>
      </c>
      <c r="AC263" s="601">
        <f>S263+(X263*Y263)+((U263*U267)*Y263)</f>
        <v>13</v>
      </c>
      <c r="AD263" s="121" t="str">
        <f>VLOOKUP(AC263,'Lookup Tables'!$A$38:$B$151,2,FALSE)</f>
        <v>July</v>
      </c>
      <c r="AE263" s="36">
        <f>VLOOKUP(AD263,'Lookup Tables'!$A$22:$B$33,2,FALSE)</f>
        <v>1</v>
      </c>
      <c r="AF263" s="34">
        <f>VLOOKUP(AE263,'Lookup Tables'!$A$3:$AA$16,MATCH(PersonCalcYr3!AB263,'Lookup Tables'!$A$3:$AA$3),FALSE)</f>
        <v>1.4839</v>
      </c>
      <c r="AG263" s="12">
        <v>9</v>
      </c>
      <c r="AH263" s="122">
        <f>AB263-AF263</f>
        <v>0.5161</v>
      </c>
      <c r="AI263" s="119">
        <f>IF(AG263&lt;=AH263,AG263,AH263)</f>
        <v>0.5161</v>
      </c>
      <c r="AJ263" s="119">
        <f>IF((AG263+AF263)&lt;=0,0,1)</f>
        <v>1</v>
      </c>
      <c r="AK263" s="124">
        <f>((('Rate Tables'!F77*$E263)*PersonCalcYr3!AI263)*$F263)*AJ263</f>
        <v>0</v>
      </c>
      <c r="AL263" s="28">
        <f>AB263-AF263-AI263</f>
        <v>0</v>
      </c>
      <c r="AM263" s="8">
        <f>IF(AL263&lt;0,AL263*0,1)*AL263</f>
        <v>0</v>
      </c>
      <c r="AN263" s="601">
        <f>AE263+(AI263*AJ263)+((AF263*AF267)*AJ263)</f>
        <v>3</v>
      </c>
      <c r="AO263" s="121" t="str">
        <f>VLOOKUP(AN263,'Lookup Tables'!$A$38:$B$151,2,FALSE)</f>
        <v>Sept</v>
      </c>
      <c r="AP263" s="36">
        <f>VLOOKUP(AO263,'Lookup Tables'!$A$22:$B$33,2,FALSE)</f>
        <v>3</v>
      </c>
      <c r="AQ263" s="34">
        <f>VLOOKUP(AP263,'Lookup Tables'!$A$3:$AA$16,MATCH(PersonCalcYr3!AM263,'Lookup Tables'!$A$3:$AA$3),FALSE)</f>
        <v>0</v>
      </c>
      <c r="AR263" s="12">
        <v>9</v>
      </c>
      <c r="AS263" s="122">
        <f>AM263-AQ263</f>
        <v>0</v>
      </c>
      <c r="AT263" s="119">
        <f>IF(AR263&lt;=AS263,AR263,AS263)</f>
        <v>0</v>
      </c>
      <c r="AU263" s="119">
        <f>IF((AR263+AQ263)&lt;=0,0,1)</f>
        <v>1</v>
      </c>
      <c r="AV263" s="124">
        <f>((('Rate Tables'!G77*$E263)*PersonCalcYr3!AT263)*$F263)*AU263</f>
        <v>0</v>
      </c>
      <c r="AW263" s="28">
        <f>AM263-AQ263-AT263</f>
        <v>0</v>
      </c>
      <c r="AX263" s="8">
        <f>IF(AW263&lt;0,AW263*0,1)*AW263</f>
        <v>0</v>
      </c>
      <c r="AY263" s="601">
        <f>AP263+(AT263*AU263)+((AQ263*AQ267)*AU263)</f>
        <v>3</v>
      </c>
      <c r="AZ263" s="121" t="str">
        <f>VLOOKUP(AY263,'Lookup Tables'!$A$38:$B$151,2,FALSE)</f>
        <v>Sept</v>
      </c>
      <c r="BA263" s="36">
        <f>VLOOKUP(AZ263,'Lookup Tables'!$A$22:$B$33,2,FALSE)</f>
        <v>3</v>
      </c>
      <c r="BB263" s="34">
        <f>VLOOKUP(BA263,'Lookup Tables'!$A$3:$AA$16,MATCH(PersonCalcYr3!AX263,'Lookup Tables'!$A$3:$AA$3),FALSE)</f>
        <v>0</v>
      </c>
      <c r="BC263" s="12">
        <v>9</v>
      </c>
      <c r="BD263" s="122">
        <f>AX263-BB263</f>
        <v>0</v>
      </c>
      <c r="BE263" s="119">
        <f>IF(BC263&lt;=BD263,BC263,BD263)</f>
        <v>0</v>
      </c>
      <c r="BF263" s="119">
        <f>IF((BC263+BB263)&lt;=0,0,1)</f>
        <v>1</v>
      </c>
      <c r="BG263" s="124">
        <f>((('Rate Tables'!H77*$E263)*PersonCalcYr3!BE263)*$F263)*BF263</f>
        <v>0</v>
      </c>
      <c r="BH263" s="28">
        <f>AX263-BB263-BE263</f>
        <v>0</v>
      </c>
      <c r="BI263" s="19"/>
      <c r="BJ263" s="12"/>
      <c r="BK263" s="1199"/>
      <c r="BL263" s="349" t="s">
        <v>643</v>
      </c>
      <c r="BM263" s="276"/>
      <c r="BN263" s="285"/>
      <c r="BO263" s="15"/>
    </row>
    <row r="264" spans="1:67" x14ac:dyDescent="0.25">
      <c r="A264" s="145"/>
      <c r="B264" s="12"/>
      <c r="C264" s="819" t="s">
        <v>732</v>
      </c>
      <c r="D264" s="12"/>
      <c r="E264" s="13" t="s">
        <v>16</v>
      </c>
      <c r="F264" s="13" t="s">
        <v>42</v>
      </c>
      <c r="G264" s="13" t="s">
        <v>41</v>
      </c>
      <c r="H264" s="65" t="s">
        <v>77</v>
      </c>
      <c r="I264" s="64" t="s">
        <v>90</v>
      </c>
      <c r="J264" s="63" t="s">
        <v>70</v>
      </c>
      <c r="K264" s="52" t="s">
        <v>109</v>
      </c>
      <c r="L264" s="13" t="s">
        <v>53</v>
      </c>
      <c r="M264" s="13" t="s">
        <v>82</v>
      </c>
      <c r="N264" s="13" t="s">
        <v>32</v>
      </c>
      <c r="O264" s="14" t="s">
        <v>69</v>
      </c>
      <c r="P264" s="13" t="s">
        <v>72</v>
      </c>
      <c r="Q264" s="65" t="s">
        <v>80</v>
      </c>
      <c r="R264" s="62" t="s">
        <v>81</v>
      </c>
      <c r="S264" s="65" t="s">
        <v>77</v>
      </c>
      <c r="T264" s="600" t="s">
        <v>83</v>
      </c>
      <c r="U264" s="63" t="s">
        <v>70</v>
      </c>
      <c r="V264" s="13" t="s">
        <v>92</v>
      </c>
      <c r="W264" s="13" t="s">
        <v>44</v>
      </c>
      <c r="X264" s="13" t="s">
        <v>78</v>
      </c>
      <c r="Y264" s="13" t="s">
        <v>68</v>
      </c>
      <c r="Z264" s="13" t="s">
        <v>33</v>
      </c>
      <c r="AA264" s="14" t="s">
        <v>69</v>
      </c>
      <c r="AB264" s="13" t="s">
        <v>72</v>
      </c>
      <c r="AC264" s="13" t="s">
        <v>80</v>
      </c>
      <c r="AD264" s="62" t="s">
        <v>81</v>
      </c>
      <c r="AE264" s="65" t="s">
        <v>77</v>
      </c>
      <c r="AF264" s="63" t="s">
        <v>70</v>
      </c>
      <c r="AG264" s="13" t="s">
        <v>94</v>
      </c>
      <c r="AH264" s="13" t="s">
        <v>45</v>
      </c>
      <c r="AI264" s="13" t="s">
        <v>79</v>
      </c>
      <c r="AJ264" s="13" t="s">
        <v>68</v>
      </c>
      <c r="AK264" s="13" t="s">
        <v>34</v>
      </c>
      <c r="AL264" s="14" t="s">
        <v>69</v>
      </c>
      <c r="AM264" s="13" t="s">
        <v>72</v>
      </c>
      <c r="AN264" s="13" t="s">
        <v>80</v>
      </c>
      <c r="AO264" s="62" t="s">
        <v>81</v>
      </c>
      <c r="AP264" s="65" t="s">
        <v>77</v>
      </c>
      <c r="AQ264" s="63" t="s">
        <v>70</v>
      </c>
      <c r="AR264" s="13" t="s">
        <v>94</v>
      </c>
      <c r="AS264" s="13" t="s">
        <v>45</v>
      </c>
      <c r="AT264" s="13" t="s">
        <v>79</v>
      </c>
      <c r="AU264" s="13" t="s">
        <v>68</v>
      </c>
      <c r="AV264" s="13" t="s">
        <v>34</v>
      </c>
      <c r="AW264" s="14" t="s">
        <v>69</v>
      </c>
      <c r="AX264" s="13" t="s">
        <v>72</v>
      </c>
      <c r="AY264" s="13" t="s">
        <v>80</v>
      </c>
      <c r="AZ264" s="62" t="s">
        <v>81</v>
      </c>
      <c r="BA264" s="65" t="s">
        <v>77</v>
      </c>
      <c r="BB264" s="63" t="s">
        <v>70</v>
      </c>
      <c r="BC264" s="13" t="s">
        <v>94</v>
      </c>
      <c r="BD264" s="13" t="s">
        <v>45</v>
      </c>
      <c r="BE264" s="13" t="s">
        <v>79</v>
      </c>
      <c r="BF264" s="13" t="s">
        <v>68</v>
      </c>
      <c r="BG264" s="13" t="s">
        <v>34</v>
      </c>
      <c r="BH264" s="14" t="s">
        <v>69</v>
      </c>
      <c r="BI264" s="19"/>
      <c r="BJ264" s="12"/>
      <c r="BK264" s="1199"/>
      <c r="BL264" s="349"/>
      <c r="BM264" s="276"/>
      <c r="BN264" s="285"/>
      <c r="BO264" s="15"/>
    </row>
    <row r="265" spans="1:67" x14ac:dyDescent="0.25">
      <c r="A265" s="145"/>
      <c r="B265" s="12"/>
      <c r="C265" s="115"/>
      <c r="D265" s="12"/>
      <c r="E265" s="118">
        <f>BL257</f>
        <v>0</v>
      </c>
      <c r="F265" s="19">
        <f>IF($D$4=2025,1,0)</f>
        <v>0</v>
      </c>
      <c r="G265" s="178">
        <f>IF($B303="Yes",$C$5,$I302)</f>
        <v>12</v>
      </c>
      <c r="H265" s="36">
        <f>VLOOKUP(H301,'Lookup Tables'!$A$22:$B$33,2,FALSE)</f>
        <v>3</v>
      </c>
      <c r="I265" s="192">
        <f>VLOOKUP($E$4,'Lookup Tables'!$AB$46:$AN$58,MATCH($H265,'Lookup Tables'!$AB$46:$AN$46),FALSE)</f>
        <v>12</v>
      </c>
      <c r="J265" s="33">
        <f>VLOOKUP(H265,'Lookup Tables'!$A$3:$AA$16,MATCH(PersonCalcYr3!$G265,'Lookup Tables'!$A$3:$AA$3),FALSE)</f>
        <v>1.5161</v>
      </c>
      <c r="K265" s="54">
        <f>VLOOKUP($H301,'Lookup Tables'!$K$23:$L$34,2,FALSE)</f>
        <v>0</v>
      </c>
      <c r="L265" s="12">
        <f>IF(G265&lt;=K265,G265,K265)</f>
        <v>0</v>
      </c>
      <c r="M265" s="195">
        <f>IF(12-I265&gt;=1,1,0)</f>
        <v>0</v>
      </c>
      <c r="N265" s="15">
        <f>(('Rate Tables'!E77*PersonCalcYr3!E265)*PersonCalcYr3!L265)*PersonCalcYr3!F265*M265</f>
        <v>0</v>
      </c>
      <c r="O265" s="28">
        <f>G265-((J265+L265)*M265)</f>
        <v>12</v>
      </c>
      <c r="P265" s="8">
        <f>IF(O265&lt;0,O265*0,1)*O265</f>
        <v>12</v>
      </c>
      <c r="Q265" s="120">
        <f>VLOOKUP($H301,'Lookup Tables'!$A$22:$B$33,2,FALSE)+(L265*M265)+(J265*M265)</f>
        <v>3</v>
      </c>
      <c r="R265" s="121" t="str">
        <f>VLOOKUP(Q265,'Lookup Tables'!$A$38:$B$151,2,FALSE)</f>
        <v>Sept</v>
      </c>
      <c r="S265" s="36">
        <f>VLOOKUP(R265,'Lookup Tables'!$A$22:$B$33,2,FALSE)</f>
        <v>3</v>
      </c>
      <c r="T265" s="599">
        <f>VLOOKUP($E$4,'Lookup Tables'!$AB$63:$AN$75,MATCH(PersonCalcYr3!$S265,'Lookup Tables'!$AB$63:$AN$63),FALSE)</f>
        <v>0.5161</v>
      </c>
      <c r="U265" s="34">
        <f>VLOOKUP(S265,'Lookup Tables'!$A$3:$AA$16,MATCH(PersonCalcYr3!$P265,'Lookup Tables'!$A$3:$AA$3),FALSE)</f>
        <v>1.5161</v>
      </c>
      <c r="V265" s="12">
        <f>9-T265</f>
        <v>8.4839000000000002</v>
      </c>
      <c r="W265" s="122">
        <f>P265-U265</f>
        <v>10.4839</v>
      </c>
      <c r="X265" s="119">
        <f>IF(V265&lt;=W265,V265,W265)</f>
        <v>8.4839000000000002</v>
      </c>
      <c r="Y265" s="195">
        <f>IF(12-T265-U265-X265&gt;=0,1,0)</f>
        <v>1</v>
      </c>
      <c r="Z265" s="20">
        <f>((('Rate Tables'!F77*$E265)*PersonCalcYr3!$X265)*$F265)*Y265</f>
        <v>0</v>
      </c>
      <c r="AA265" s="197">
        <f>O265-(((U265*U267)+X265)*Y265)</f>
        <v>2</v>
      </c>
      <c r="AB265" s="8">
        <f>IF(AA265&lt;0,AA265*0,1)*AA265</f>
        <v>2</v>
      </c>
      <c r="AC265" s="601">
        <f>S265+(X265*Y265)+((U265*U267)*Y265)</f>
        <v>13</v>
      </c>
      <c r="AD265" s="121" t="str">
        <f>VLOOKUP(AC265,'Lookup Tables'!$A$38:$B$151,2,FALSE)</f>
        <v>July</v>
      </c>
      <c r="AE265" s="36">
        <f>VLOOKUP(AD265,'Lookup Tables'!$A$22:$B$33,2,FALSE)</f>
        <v>1</v>
      </c>
      <c r="AF265" s="34">
        <f>VLOOKUP(AE265,'Lookup Tables'!$A$3:$AA$16,MATCH(PersonCalcYr3!AB265,'Lookup Tables'!$A$3:$AA$3),FALSE)</f>
        <v>1.4839</v>
      </c>
      <c r="AG265" s="12">
        <v>9</v>
      </c>
      <c r="AH265" s="122">
        <f>AB265-AF265</f>
        <v>0.5161</v>
      </c>
      <c r="AI265" s="119">
        <f>IF(AG265&lt;=AH265,AG265,AH265)</f>
        <v>0.5161</v>
      </c>
      <c r="AJ265" s="119">
        <f>IF((AG265+AF265)&lt;=0,0,1)</f>
        <v>1</v>
      </c>
      <c r="AK265" s="124">
        <f>((('Rate Tables'!G77*$E265)*PersonCalcYr3!AI265)*$F265)*AJ265</f>
        <v>0</v>
      </c>
      <c r="AL265" s="28">
        <f>AB265-AF265-AI265</f>
        <v>0</v>
      </c>
      <c r="AM265" s="8">
        <f>IF(AL265&lt;0,AL265*0,1)*AL265</f>
        <v>0</v>
      </c>
      <c r="AN265" s="601">
        <f>AE265+(AI265*AJ265)+((AF265*AF267)*AJ265)</f>
        <v>3</v>
      </c>
      <c r="AO265" s="121" t="str">
        <f>VLOOKUP(AN265,'Lookup Tables'!$A$38:$B$151,2,FALSE)</f>
        <v>Sept</v>
      </c>
      <c r="AP265" s="36">
        <f>VLOOKUP(AO265,'Lookup Tables'!$A$22:$B$33,2,FALSE)</f>
        <v>3</v>
      </c>
      <c r="AQ265" s="34">
        <f>VLOOKUP(AP265,'Lookup Tables'!$A$3:$AA$16,MATCH(PersonCalcYr3!AM265,'Lookup Tables'!$A$3:$AA$3),FALSE)</f>
        <v>0</v>
      </c>
      <c r="AR265" s="12">
        <v>9</v>
      </c>
      <c r="AS265" s="122">
        <f>AM265-AQ265</f>
        <v>0</v>
      </c>
      <c r="AT265" s="119">
        <f>IF(AR265&lt;=AS265,AR265,AS265)</f>
        <v>0</v>
      </c>
      <c r="AU265" s="119">
        <f>IF((AR265+AQ265)&lt;=0,0,1)</f>
        <v>1</v>
      </c>
      <c r="AV265" s="124">
        <f>((('Rate Tables'!H77*$E265)*PersonCalcYr3!AT265)*$F265)*AU265</f>
        <v>0</v>
      </c>
      <c r="AW265" s="28">
        <f>AM265-AQ265-AT265</f>
        <v>0</v>
      </c>
      <c r="AX265" s="8">
        <f>IF(AW265&lt;0,AW265*0,1)*AW265</f>
        <v>0</v>
      </c>
      <c r="AY265" s="601">
        <f>AP265+(AT265*AU265)+((AQ265*AQ267)*AU265)</f>
        <v>3</v>
      </c>
      <c r="AZ265" s="121" t="str">
        <f>VLOOKUP(AY265,'Lookup Tables'!$A$38:$B$151,2,FALSE)</f>
        <v>Sept</v>
      </c>
      <c r="BA265" s="36">
        <f>VLOOKUP(AZ265,'Lookup Tables'!$A$22:$B$33,2,FALSE)</f>
        <v>3</v>
      </c>
      <c r="BB265" s="34">
        <f>VLOOKUP(BA265,'Lookup Tables'!$A$3:$AA$16,MATCH(PersonCalcYr3!AX265,'Lookup Tables'!$A$3:$AA$3),FALSE)</f>
        <v>0</v>
      </c>
      <c r="BC265" s="12">
        <v>9</v>
      </c>
      <c r="BD265" s="122">
        <f>AX265-BB265</f>
        <v>0</v>
      </c>
      <c r="BE265" s="119">
        <f>IF(BC265&lt;=BD265,BC265,BD265)</f>
        <v>0</v>
      </c>
      <c r="BF265" s="119">
        <f>IF((BC265+BB265)&lt;=0,0,1)</f>
        <v>1</v>
      </c>
      <c r="BG265" s="124">
        <f>((('Rate Tables'!I77*$E265)*PersonCalcYr3!BE265)*$F265)*BF265</f>
        <v>0</v>
      </c>
      <c r="BH265" s="28">
        <f>AX265-BB265-BE265</f>
        <v>0</v>
      </c>
      <c r="BI265" s="19"/>
      <c r="BJ265" s="12"/>
      <c r="BK265" s="1199"/>
      <c r="BL265" s="349"/>
      <c r="BM265" s="276"/>
      <c r="BN265" s="285"/>
      <c r="BO265" s="15"/>
    </row>
    <row r="266" spans="1:67" x14ac:dyDescent="0.25">
      <c r="A266" s="145"/>
      <c r="B266" s="12"/>
      <c r="C266" s="115"/>
      <c r="D266" s="12"/>
      <c r="E266" s="118"/>
      <c r="F266" s="19"/>
      <c r="G266" s="12"/>
      <c r="H266" s="12"/>
      <c r="I266" s="141"/>
      <c r="J266" s="228" t="s">
        <v>183</v>
      </c>
      <c r="K266" s="13" t="s">
        <v>181</v>
      </c>
      <c r="L266" s="13" t="s">
        <v>179</v>
      </c>
      <c r="M266" s="13" t="s">
        <v>180</v>
      </c>
      <c r="N266" s="660" t="s">
        <v>128</v>
      </c>
      <c r="O266" s="135" t="s">
        <v>130</v>
      </c>
      <c r="P266" s="8"/>
      <c r="Q266" s="123"/>
      <c r="R266" s="12"/>
      <c r="S266" s="12"/>
      <c r="T266" s="12"/>
      <c r="U266" s="12"/>
      <c r="V266" s="228" t="s">
        <v>183</v>
      </c>
      <c r="W266" s="13" t="s">
        <v>181</v>
      </c>
      <c r="X266" s="13" t="s">
        <v>179</v>
      </c>
      <c r="Y266" s="13" t="s">
        <v>180</v>
      </c>
      <c r="Z266" s="608" t="s">
        <v>128</v>
      </c>
      <c r="AA266" s="135" t="s">
        <v>130</v>
      </c>
      <c r="AB266" s="8"/>
      <c r="AC266" s="123"/>
      <c r="AD266" s="12"/>
      <c r="AE266" s="12"/>
      <c r="AF266" s="12"/>
      <c r="AG266" s="228" t="s">
        <v>183</v>
      </c>
      <c r="AH266" s="13" t="s">
        <v>181</v>
      </c>
      <c r="AI266" s="13" t="s">
        <v>179</v>
      </c>
      <c r="AJ266" s="13" t="s">
        <v>180</v>
      </c>
      <c r="AK266" s="660" t="s">
        <v>128</v>
      </c>
      <c r="AL266" s="135" t="s">
        <v>130</v>
      </c>
      <c r="AM266" s="11"/>
      <c r="AN266" s="13"/>
      <c r="AO266" s="13"/>
      <c r="AP266" s="13"/>
      <c r="AQ266" s="13"/>
      <c r="AR266" s="228" t="s">
        <v>183</v>
      </c>
      <c r="AS266" s="13" t="s">
        <v>181</v>
      </c>
      <c r="AT266" s="13" t="s">
        <v>179</v>
      </c>
      <c r="AU266" s="13" t="s">
        <v>180</v>
      </c>
      <c r="AV266" s="660" t="s">
        <v>128</v>
      </c>
      <c r="AW266" s="135" t="s">
        <v>130</v>
      </c>
      <c r="AX266" s="153"/>
      <c r="AY266" s="153"/>
      <c r="AZ266" s="153"/>
      <c r="BA266" s="153"/>
      <c r="BB266" s="153"/>
      <c r="BC266" s="228" t="s">
        <v>183</v>
      </c>
      <c r="BD266" s="13" t="s">
        <v>181</v>
      </c>
      <c r="BE266" s="13" t="s">
        <v>179</v>
      </c>
      <c r="BF266" s="13" t="s">
        <v>180</v>
      </c>
      <c r="BG266" s="660" t="s">
        <v>128</v>
      </c>
      <c r="BH266" s="135" t="s">
        <v>130</v>
      </c>
      <c r="BI266" s="13" t="s">
        <v>159</v>
      </c>
      <c r="BJ266" s="12"/>
      <c r="BK266" s="1199"/>
      <c r="BL266" s="350" t="s">
        <v>644</v>
      </c>
      <c r="BM266" s="227" t="s">
        <v>582</v>
      </c>
      <c r="BN266" s="663">
        <f>IF(BN257&gt;0,1,0)</f>
        <v>0</v>
      </c>
      <c r="BO266" s="15"/>
    </row>
    <row r="267" spans="1:67" x14ac:dyDescent="0.25">
      <c r="A267" s="145"/>
      <c r="B267" s="227"/>
      <c r="C267" s="115"/>
      <c r="D267" s="12"/>
      <c r="E267" s="118"/>
      <c r="F267" s="19"/>
      <c r="G267" s="12"/>
      <c r="H267" s="12"/>
      <c r="I267" s="141"/>
      <c r="J267" s="141">
        <f>IF($BK276&gt;0,1,0)</f>
        <v>0</v>
      </c>
      <c r="K267" s="12">
        <f>IF($BK276=0,1,0)</f>
        <v>1</v>
      </c>
      <c r="L267" s="129">
        <f>'Rate Tables'!$P$17</f>
        <v>910</v>
      </c>
      <c r="M267" s="129">
        <f>'Rate Tables'!$Q$17</f>
        <v>933.34</v>
      </c>
      <c r="N267" s="661">
        <f>ROUNDUP(N271,0)</f>
        <v>0</v>
      </c>
      <c r="O267" s="136">
        <f>((J267*L267)+(K267*M267))*N267</f>
        <v>0</v>
      </c>
      <c r="P267" s="8"/>
      <c r="Q267" s="123"/>
      <c r="R267" s="12"/>
      <c r="S267" s="12"/>
      <c r="T267" s="605" t="s">
        <v>573</v>
      </c>
      <c r="U267" s="606">
        <f>VLOOKUP($E$4,'Lookup Tables'!$L$79:$X$91,MATCH(PersonCalcYr3!$S259,'Lookup Tables'!$L$79:$X$79),FALSE)</f>
        <v>1</v>
      </c>
      <c r="V267" s="141">
        <f>IF($BK276&gt;0,1,0)</f>
        <v>0</v>
      </c>
      <c r="W267" s="12">
        <f>IF($BK276=0,1,0)</f>
        <v>1</v>
      </c>
      <c r="X267" s="129">
        <f>'Rate Tables'!$P$18</f>
        <v>910</v>
      </c>
      <c r="Y267" s="129">
        <f>'Rate Tables'!$Q$18</f>
        <v>933.34</v>
      </c>
      <c r="Z267" s="661">
        <f>IF(Y272&lt;=AA272,Y272,AA272)</f>
        <v>0</v>
      </c>
      <c r="AA267" s="136">
        <f>((V267*X267)+(W267*Y267))*Z267</f>
        <v>0</v>
      </c>
      <c r="AB267" s="8"/>
      <c r="AC267" s="123"/>
      <c r="AD267" s="12"/>
      <c r="AE267" s="605" t="s">
        <v>573</v>
      </c>
      <c r="AF267" s="606">
        <v>1</v>
      </c>
      <c r="AG267" s="141">
        <f>IF($BK276&gt;0,1,0)</f>
        <v>0</v>
      </c>
      <c r="AH267" s="12">
        <f>IF($BK276=0,1,0)</f>
        <v>1</v>
      </c>
      <c r="AI267" s="129">
        <f>'Rate Tables'!$P$19</f>
        <v>910</v>
      </c>
      <c r="AJ267" s="129">
        <f>'Rate Tables'!$Q$19</f>
        <v>933.34</v>
      </c>
      <c r="AK267" s="661">
        <f>IF(AJ272&lt;=AL271,AJ272,AL271)</f>
        <v>0</v>
      </c>
      <c r="AL267" s="136">
        <f>((AG267*AI267)+(AH267*AJ267))*AK267</f>
        <v>0</v>
      </c>
      <c r="AM267" s="11"/>
      <c r="AN267" s="19"/>
      <c r="AO267" s="19"/>
      <c r="AP267" s="605" t="s">
        <v>573</v>
      </c>
      <c r="AQ267" s="606">
        <v>1</v>
      </c>
      <c r="AR267" s="141">
        <f>IF($BK276&gt;0,1,0)</f>
        <v>0</v>
      </c>
      <c r="AS267" s="12">
        <f>IF($BK276=0,1,0)</f>
        <v>1</v>
      </c>
      <c r="AT267" s="129">
        <f>'Rate Tables'!$P$20</f>
        <v>928.2</v>
      </c>
      <c r="AU267" s="129">
        <f>'Rate Tables'!$Q$20</f>
        <v>952</v>
      </c>
      <c r="AV267" s="661">
        <f>IF(AU272&lt;=AW271,AU272,AW271)</f>
        <v>0</v>
      </c>
      <c r="AW267" s="136">
        <f>((AR267*AT267)+(AS267*AU267))*AV267</f>
        <v>0</v>
      </c>
      <c r="AX267" s="125"/>
      <c r="AY267" s="125"/>
      <c r="AZ267" s="125"/>
      <c r="BA267" s="125"/>
      <c r="BB267" s="125"/>
      <c r="BC267" s="141">
        <f>IF($BK276&gt;0,1,0)</f>
        <v>0</v>
      </c>
      <c r="BD267" s="12">
        <f>IF($BK276=0,1,0)</f>
        <v>1</v>
      </c>
      <c r="BE267" s="129">
        <f>'Rate Tables'!$P$21</f>
        <v>946.76</v>
      </c>
      <c r="BF267" s="129">
        <f>'Rate Tables'!$Q$21</f>
        <v>971.04</v>
      </c>
      <c r="BG267" s="661">
        <f>IF(BF272&lt;=BH271,BF272,BH271)</f>
        <v>0</v>
      </c>
      <c r="BH267" s="136">
        <f>((BC267*BE267)+(BD267*BF267))*BG267</f>
        <v>0</v>
      </c>
      <c r="BI267" s="19">
        <f>VLOOKUP(B255,'Lookup Tables'!$AK$22:$AM$24,2,0)</f>
        <v>0</v>
      </c>
      <c r="BJ267" s="12"/>
      <c r="BK267" s="835">
        <f>N271+N272+N273+N274+Z272+Z273+Z274+Z275+AK271+AK272+AK273+AK274+AV271+AV272+AV273+AV274+BG271+BG272+BG273+BG274</f>
        <v>9</v>
      </c>
      <c r="BL267" s="358" t="str">
        <f>IF(BL257=50%,"no",Personnel!W78)</f>
        <v>No</v>
      </c>
      <c r="BM267" s="12"/>
      <c r="BN267" s="285"/>
      <c r="BO267" s="15"/>
    </row>
    <row r="268" spans="1:67" x14ac:dyDescent="0.25">
      <c r="A268" s="145"/>
      <c r="B268" s="12"/>
      <c r="C268" s="115"/>
      <c r="D268" s="12"/>
      <c r="E268" s="126"/>
      <c r="F268" s="19"/>
      <c r="G268" s="12"/>
      <c r="H268" s="12"/>
      <c r="I268" s="12"/>
      <c r="J268" s="141">
        <f>IF($BK276&gt;0,1,0)</f>
        <v>0</v>
      </c>
      <c r="K268" s="12">
        <f>IF($BK276=0,1,0)</f>
        <v>1</v>
      </c>
      <c r="L268" s="129">
        <f>'Rate Tables'!$P$18</f>
        <v>910</v>
      </c>
      <c r="M268" s="129">
        <f>'Rate Tables'!$Q$18</f>
        <v>933.34</v>
      </c>
      <c r="N268" s="661">
        <f>ROUNDUP(N272,0)</f>
        <v>0</v>
      </c>
      <c r="O268" s="136">
        <f>((J268*L268)+(K268*M268))*N268</f>
        <v>0</v>
      </c>
      <c r="P268" s="19"/>
      <c r="Q268" s="19"/>
      <c r="R268" s="19"/>
      <c r="S268" s="19"/>
      <c r="T268" s="19"/>
      <c r="U268" s="12"/>
      <c r="V268" s="141">
        <f>IF($BK276&gt;0,1,0)</f>
        <v>0</v>
      </c>
      <c r="W268" s="12">
        <f>IF($BK276=0,1,0)</f>
        <v>1</v>
      </c>
      <c r="X268" s="129">
        <f>'Rate Tables'!$P$19</f>
        <v>910</v>
      </c>
      <c r="Y268" s="129">
        <f>'Rate Tables'!$Q$19</f>
        <v>933.34</v>
      </c>
      <c r="Z268" s="661">
        <f>IF(Y272&lt;=AA273,Y272,AA273)</f>
        <v>0</v>
      </c>
      <c r="AA268" s="136">
        <f>((V268*X268)+(W268*Y268))*Z268</f>
        <v>0</v>
      </c>
      <c r="AB268" s="20"/>
      <c r="AC268" s="20"/>
      <c r="AD268" s="20"/>
      <c r="AE268" s="20"/>
      <c r="AF268" s="123"/>
      <c r="AG268" s="141">
        <f>IF($BK276&gt;0,1,0)</f>
        <v>0</v>
      </c>
      <c r="AH268" s="12">
        <f>IF($BK276=0,1,0)</f>
        <v>1</v>
      </c>
      <c r="AI268" s="129">
        <f>'Rate Tables'!$P$20</f>
        <v>928.2</v>
      </c>
      <c r="AJ268" s="129">
        <f>'Rate Tables'!$Q$20</f>
        <v>952</v>
      </c>
      <c r="AK268" s="661">
        <f>IF(AJ272&lt;=AL272,AJ272,AL272)</f>
        <v>0</v>
      </c>
      <c r="AL268" s="136">
        <f>((AG268*AI268)+(AH268*AJ268))*AK268</f>
        <v>0</v>
      </c>
      <c r="AM268" s="11"/>
      <c r="AN268" s="19"/>
      <c r="AO268" s="19"/>
      <c r="AP268" s="19"/>
      <c r="AQ268" s="19"/>
      <c r="AR268" s="141">
        <f>IF($BK276&gt;0,1,0)</f>
        <v>0</v>
      </c>
      <c r="AS268" s="12">
        <f>IF($BK276=0,1,0)</f>
        <v>1</v>
      </c>
      <c r="AT268" s="129">
        <f>'Rate Tables'!$P$21</f>
        <v>946.76</v>
      </c>
      <c r="AU268" s="129">
        <f>'Rate Tables'!$Q$21</f>
        <v>971.04</v>
      </c>
      <c r="AV268" s="661">
        <f>IF(AU272&lt;=AW272,AU272,AW272)</f>
        <v>0</v>
      </c>
      <c r="AW268" s="136">
        <f>((AR268*AT268)+(AS268*AU268))*AV268</f>
        <v>0</v>
      </c>
      <c r="AX268" s="125"/>
      <c r="AY268" s="125"/>
      <c r="AZ268" s="125"/>
      <c r="BA268" s="125"/>
      <c r="BB268" s="125"/>
      <c r="BC268" s="141">
        <f>IF($BK276&gt;0,1,0)</f>
        <v>0</v>
      </c>
      <c r="BD268" s="12">
        <f>IF($BK276=0,1,0)</f>
        <v>1</v>
      </c>
      <c r="BE268" s="129">
        <f>'Rate Tables'!$P$22</f>
        <v>965.7</v>
      </c>
      <c r="BF268" s="129">
        <f>'Rate Tables'!$Q$22</f>
        <v>990.46</v>
      </c>
      <c r="BG268" s="661">
        <f>IF(BF272&lt;=BH272,BF272,BH272)</f>
        <v>0</v>
      </c>
      <c r="BH268" s="136">
        <f>((BC268*BE268)+(BD268*BF268))*BG268</f>
        <v>0</v>
      </c>
      <c r="BI268" s="19"/>
      <c r="BJ268" s="12"/>
      <c r="BK268" s="307">
        <f>ROUNDUP(BK267,0)</f>
        <v>9</v>
      </c>
      <c r="BL268" s="349">
        <f>IF(BL267="yes",0.5,1)</f>
        <v>1</v>
      </c>
      <c r="BM268" s="12"/>
      <c r="BN268" s="285"/>
      <c r="BO268" s="15"/>
    </row>
    <row r="269" spans="1:67" x14ac:dyDescent="0.25">
      <c r="A269" s="145"/>
      <c r="B269" s="12"/>
      <c r="C269" s="115"/>
      <c r="D269" s="12"/>
      <c r="E269" s="126"/>
      <c r="F269" s="19"/>
      <c r="G269" s="12"/>
      <c r="H269" s="12"/>
      <c r="I269" s="12"/>
      <c r="J269" s="141">
        <f>IF($BK276&gt;0,1,0)</f>
        <v>0</v>
      </c>
      <c r="K269" s="12">
        <f>IF($BK276=0,1,0)</f>
        <v>1</v>
      </c>
      <c r="L269" s="129">
        <f>'Rate Tables'!$P$19</f>
        <v>910</v>
      </c>
      <c r="M269" s="129">
        <f>'Rate Tables'!$Q$19</f>
        <v>933.34</v>
      </c>
      <c r="N269" s="661">
        <f>ROUNDUP(N273,0)</f>
        <v>0</v>
      </c>
      <c r="O269" s="136">
        <f>((J269*L269)+(K269*M269))*N269</f>
        <v>0</v>
      </c>
      <c r="P269" s="19"/>
      <c r="Q269" s="19"/>
      <c r="R269" s="19"/>
      <c r="S269" s="19"/>
      <c r="T269" s="19"/>
      <c r="U269" s="12"/>
      <c r="V269" s="141">
        <f>IF($BK276&gt;0,1,0)</f>
        <v>0</v>
      </c>
      <c r="W269" s="12">
        <f>IF($BK276=0,1,0)</f>
        <v>1</v>
      </c>
      <c r="X269" s="129">
        <f>'Rate Tables'!$P$20</f>
        <v>928.2</v>
      </c>
      <c r="Y269" s="129">
        <f>'Rate Tables'!$Q$20</f>
        <v>952</v>
      </c>
      <c r="Z269" s="661">
        <f>IF(Y272&lt;=AA274,Y272,AA274)</f>
        <v>9</v>
      </c>
      <c r="AA269" s="136">
        <f>((V269*X269)+(W269*Y269))*Z269</f>
        <v>8568</v>
      </c>
      <c r="AB269" s="20"/>
      <c r="AC269" s="20"/>
      <c r="AD269" s="20"/>
      <c r="AE269" s="20"/>
      <c r="AF269" s="123"/>
      <c r="AG269" s="141">
        <f>IF($BK276&gt;0,1,0)</f>
        <v>0</v>
      </c>
      <c r="AH269" s="12">
        <f>IF($BK276=0,1,0)</f>
        <v>1</v>
      </c>
      <c r="AI269" s="129">
        <f>'Rate Tables'!$P$21</f>
        <v>946.76</v>
      </c>
      <c r="AJ269" s="129">
        <f>'Rate Tables'!$Q$21</f>
        <v>971.04</v>
      </c>
      <c r="AK269" s="661">
        <f>IF(AJ272&lt;=AL273,AJ272,AL273)</f>
        <v>0</v>
      </c>
      <c r="AL269" s="136">
        <f>((AG269*AI269)+(AH269*AJ269))*AK269</f>
        <v>0</v>
      </c>
      <c r="AM269" s="11"/>
      <c r="AN269" s="19"/>
      <c r="AO269" s="19"/>
      <c r="AP269" s="19"/>
      <c r="AQ269" s="19"/>
      <c r="AR269" s="141">
        <f>IF($BK276&gt;0,1,0)</f>
        <v>0</v>
      </c>
      <c r="AS269" s="12">
        <f>IF($BK276=0,1,0)</f>
        <v>1</v>
      </c>
      <c r="AT269" s="129">
        <f>'Rate Tables'!$P$22</f>
        <v>965.7</v>
      </c>
      <c r="AU269" s="129">
        <f>'Rate Tables'!$Q$22</f>
        <v>990.46</v>
      </c>
      <c r="AV269" s="661">
        <f>IF(AU272&lt;=AW273,AU272,AW273)</f>
        <v>0</v>
      </c>
      <c r="AW269" s="136">
        <f>((AR269*AT269)+(AS269*AU269))*AV269</f>
        <v>0</v>
      </c>
      <c r="AX269" s="125"/>
      <c r="AY269" s="125"/>
      <c r="AZ269" s="125"/>
      <c r="BA269" s="125"/>
      <c r="BB269" s="125"/>
      <c r="BC269" s="141">
        <f>IF($BK276&gt;0,1,0)</f>
        <v>0</v>
      </c>
      <c r="BD269" s="12">
        <f>IF($BK276=0,1,0)</f>
        <v>1</v>
      </c>
      <c r="BE269" s="129">
        <f>'Rate Tables'!$P$23</f>
        <v>985.01</v>
      </c>
      <c r="BF269" s="129">
        <f>'Rate Tables'!$Q$23</f>
        <v>1010.27</v>
      </c>
      <c r="BG269" s="661">
        <f>IF(BF272&lt;=BH273,BF272,BH273)</f>
        <v>0</v>
      </c>
      <c r="BH269" s="136">
        <f>((BC269*BE269)+(BD269*BF269))*BG269</f>
        <v>0</v>
      </c>
      <c r="BI269" s="19"/>
      <c r="BJ269" s="12"/>
      <c r="BK269" s="307"/>
      <c r="BL269" s="349"/>
      <c r="BM269" s="12"/>
      <c r="BN269" s="285"/>
      <c r="BO269" s="15"/>
    </row>
    <row r="270" spans="1:67" x14ac:dyDescent="0.25">
      <c r="A270" s="145"/>
      <c r="B270" s="12"/>
      <c r="C270" s="115"/>
      <c r="D270" s="12"/>
      <c r="E270" s="126"/>
      <c r="F270" s="19"/>
      <c r="G270" s="12"/>
      <c r="H270" s="12"/>
      <c r="I270" s="12"/>
      <c r="J270" s="141">
        <f>IF($BK276&gt;0,1,0)</f>
        <v>0</v>
      </c>
      <c r="K270" s="12">
        <f>IF($BK276=0,1,0)</f>
        <v>1</v>
      </c>
      <c r="L270" s="129">
        <f>'Rate Tables'!$P$20</f>
        <v>928.2</v>
      </c>
      <c r="M270" s="129">
        <f>'Rate Tables'!$Q$20</f>
        <v>952</v>
      </c>
      <c r="N270" s="661">
        <f>ROUNDUP(N274,0)</f>
        <v>0</v>
      </c>
      <c r="O270" s="136">
        <f>((J270*L270)+(K270*M270))*N270</f>
        <v>0</v>
      </c>
      <c r="P270" s="19"/>
      <c r="Q270" s="19"/>
      <c r="R270" s="19"/>
      <c r="S270" s="19"/>
      <c r="T270" s="19"/>
      <c r="U270" s="12"/>
      <c r="V270" s="141">
        <f>IF($BK276&gt;0,1,0)</f>
        <v>0</v>
      </c>
      <c r="W270" s="12">
        <f>IF($BK276=0,1,0)</f>
        <v>1</v>
      </c>
      <c r="X270" s="129">
        <f>'Rate Tables'!$P$21</f>
        <v>946.76</v>
      </c>
      <c r="Y270" s="129">
        <f>'Rate Tables'!$Q$21</f>
        <v>971.04</v>
      </c>
      <c r="Z270" s="661">
        <f>IF(Y272&lt;=AA275,Y272,AA275)</f>
        <v>0</v>
      </c>
      <c r="AA270" s="136">
        <f>((V270*X270)+(W270*Y270))*Z270</f>
        <v>0</v>
      </c>
      <c r="AB270" s="20"/>
      <c r="AC270" s="20"/>
      <c r="AD270" s="20"/>
      <c r="AE270" s="20"/>
      <c r="AF270" s="123"/>
      <c r="AG270" s="141">
        <f>IF($BK276&gt;0,1,0)</f>
        <v>0</v>
      </c>
      <c r="AH270" s="12">
        <f>IF($BK276=0,1,0)</f>
        <v>1</v>
      </c>
      <c r="AI270" s="129">
        <f>'Rate Tables'!$P$22</f>
        <v>965.7</v>
      </c>
      <c r="AJ270" s="129">
        <f>'Rate Tables'!$Q$22</f>
        <v>990.46</v>
      </c>
      <c r="AK270" s="661">
        <f>IF(AJ272&lt;=AL274,AJ272,AL274)</f>
        <v>0</v>
      </c>
      <c r="AL270" s="136">
        <f>((AG270*AI270)+(AH270*AJ270))*AK270</f>
        <v>0</v>
      </c>
      <c r="AM270" s="11"/>
      <c r="AN270" s="19"/>
      <c r="AO270" s="19"/>
      <c r="AP270" s="19"/>
      <c r="AQ270" s="19"/>
      <c r="AR270" s="141">
        <f>IF($BK276&gt;0,1,0)</f>
        <v>0</v>
      </c>
      <c r="AS270" s="12">
        <f>IF($BK276=0,1,0)</f>
        <v>1</v>
      </c>
      <c r="AT270" s="129">
        <f>'Rate Tables'!$P$23</f>
        <v>985.01</v>
      </c>
      <c r="AU270" s="129">
        <f>'Rate Tables'!$Q$23</f>
        <v>1010.27</v>
      </c>
      <c r="AV270" s="661">
        <f>IF(AU272&lt;=AW274,AU272,AW274)</f>
        <v>0</v>
      </c>
      <c r="AW270" s="136">
        <f>((AR270*AT270)+(AS270*AU270))*AV270</f>
        <v>0</v>
      </c>
      <c r="AX270" s="125"/>
      <c r="AY270" s="125"/>
      <c r="AZ270" s="125"/>
      <c r="BA270" s="125"/>
      <c r="BB270" s="125"/>
      <c r="BC270" s="141">
        <f>IF($BK276&gt;0,1,0)</f>
        <v>0</v>
      </c>
      <c r="BD270" s="12">
        <f>IF($BK276=0,1,0)</f>
        <v>1</v>
      </c>
      <c r="BE270" s="129">
        <f>'Rate Tables'!$P$24</f>
        <v>1004.71</v>
      </c>
      <c r="BF270" s="129">
        <f>'Rate Tables'!$Q$24</f>
        <v>1030.47</v>
      </c>
      <c r="BG270" s="661">
        <f>IF(BF273&lt;=BH274,BF273,BH274)</f>
        <v>0</v>
      </c>
      <c r="BH270" s="136">
        <f>((BC270*BE270)+(BD270*BF270))*BG270</f>
        <v>0</v>
      </c>
      <c r="BI270" s="19"/>
      <c r="BJ270" s="12"/>
      <c r="BK270" s="307"/>
      <c r="BL270" s="349"/>
      <c r="BM270" s="12"/>
      <c r="BN270" s="285"/>
      <c r="BO270" s="15"/>
    </row>
    <row r="271" spans="1:67" x14ac:dyDescent="0.25">
      <c r="A271" s="145"/>
      <c r="B271" s="12"/>
      <c r="C271" s="115"/>
      <c r="D271" s="12"/>
      <c r="E271" s="126"/>
      <c r="F271" s="19"/>
      <c r="G271" s="12"/>
      <c r="H271" s="12"/>
      <c r="I271" s="12"/>
      <c r="J271" s="141"/>
      <c r="K271" s="12"/>
      <c r="L271" s="129"/>
      <c r="M271" s="129"/>
      <c r="N271" s="661">
        <f>L259*M259*F259</f>
        <v>0</v>
      </c>
      <c r="O271" s="136"/>
      <c r="P271" s="19"/>
      <c r="Q271" s="19"/>
      <c r="R271" s="19"/>
      <c r="S271" s="19"/>
      <c r="T271" s="19"/>
      <c r="U271" s="12"/>
      <c r="V271" s="141"/>
      <c r="W271" s="12"/>
      <c r="X271" s="129"/>
      <c r="Y271" s="129"/>
      <c r="Z271" s="661"/>
      <c r="AA271" s="836"/>
      <c r="AB271" s="20"/>
      <c r="AC271" s="20"/>
      <c r="AD271" s="20"/>
      <c r="AE271" s="20"/>
      <c r="AF271" s="123"/>
      <c r="AG271" s="141"/>
      <c r="AH271" s="12"/>
      <c r="AI271" s="129"/>
      <c r="AJ271" s="129"/>
      <c r="AK271" s="731">
        <f>AI259*AJ259*F259</f>
        <v>0</v>
      </c>
      <c r="AL271" s="655">
        <f>ROUNDUP(AK271,0)</f>
        <v>0</v>
      </c>
      <c r="AM271" s="11"/>
      <c r="AN271" s="19"/>
      <c r="AO271" s="19"/>
      <c r="AP271" s="19"/>
      <c r="AQ271" s="19"/>
      <c r="AR271" s="141"/>
      <c r="AS271" s="12"/>
      <c r="AT271" s="129"/>
      <c r="AU271" s="129"/>
      <c r="AV271" s="731">
        <f>AT259*AU259*F259</f>
        <v>0</v>
      </c>
      <c r="AW271" s="655">
        <f>ROUNDUP(AV271,0)</f>
        <v>0</v>
      </c>
      <c r="AX271" s="125"/>
      <c r="AY271" s="125"/>
      <c r="AZ271" s="125"/>
      <c r="BA271" s="125"/>
      <c r="BB271" s="125"/>
      <c r="BC271" s="141"/>
      <c r="BD271" s="12"/>
      <c r="BE271" s="129"/>
      <c r="BF271" s="129"/>
      <c r="BG271" s="731">
        <f>BE259*BF259*F259</f>
        <v>0</v>
      </c>
      <c r="BH271" s="655">
        <f>ROUNDUP(BG271,0)</f>
        <v>0</v>
      </c>
      <c r="BI271" s="19"/>
      <c r="BJ271" s="12"/>
      <c r="BK271" s="307"/>
      <c r="BL271" s="349"/>
      <c r="BM271" s="12"/>
      <c r="BN271" s="285"/>
      <c r="BO271" s="15"/>
    </row>
    <row r="272" spans="1:67" x14ac:dyDescent="0.25">
      <c r="A272" s="145"/>
      <c r="B272" s="12"/>
      <c r="C272" s="115"/>
      <c r="D272" s="12"/>
      <c r="E272" s="126"/>
      <c r="F272" s="19"/>
      <c r="G272" s="12" t="s">
        <v>585</v>
      </c>
      <c r="H272" s="12"/>
      <c r="I272" s="12"/>
      <c r="J272" s="141"/>
      <c r="K272" s="12"/>
      <c r="L272" s="129"/>
      <c r="M272" s="129"/>
      <c r="N272" s="661">
        <f>L261*M261*F261</f>
        <v>0</v>
      </c>
      <c r="O272" s="136"/>
      <c r="P272" s="19"/>
      <c r="Q272" s="19"/>
      <c r="R272" s="19"/>
      <c r="S272" s="19"/>
      <c r="T272" s="19"/>
      <c r="U272" s="12"/>
      <c r="V272" s="141"/>
      <c r="W272" s="12"/>
      <c r="X272" s="653" t="s">
        <v>581</v>
      </c>
      <c r="Y272" s="653">
        <f>BK268-N267-N268-N269-N270</f>
        <v>9</v>
      </c>
      <c r="Z272" s="731">
        <f>X259*Y259*F259</f>
        <v>0</v>
      </c>
      <c r="AA272" s="655">
        <f>ROUNDUP(Z272,0)</f>
        <v>0</v>
      </c>
      <c r="AB272" s="20"/>
      <c r="AC272" s="20"/>
      <c r="AD272" s="20"/>
      <c r="AE272" s="20"/>
      <c r="AF272" s="123"/>
      <c r="AG272" s="141"/>
      <c r="AH272" s="12"/>
      <c r="AI272" s="653" t="s">
        <v>581</v>
      </c>
      <c r="AJ272" s="837">
        <f>Y272-Z267-Z268-Z269-Z270</f>
        <v>0</v>
      </c>
      <c r="AK272" s="731">
        <f>AI261*AJ261*F261</f>
        <v>0</v>
      </c>
      <c r="AL272" s="732">
        <f>ROUNDUP(AK272,0)</f>
        <v>0</v>
      </c>
      <c r="AM272" s="11"/>
      <c r="AN272" s="19"/>
      <c r="AO272" s="19"/>
      <c r="AP272" s="19"/>
      <c r="AQ272" s="19"/>
      <c r="AR272" s="141"/>
      <c r="AS272" s="12"/>
      <c r="AT272" s="653" t="s">
        <v>581</v>
      </c>
      <c r="AU272" s="653">
        <f>AJ272-AK267-AK268*AK269</f>
        <v>0</v>
      </c>
      <c r="AV272" s="731">
        <f>AT261*AU261*F261</f>
        <v>0</v>
      </c>
      <c r="AW272" s="732">
        <f>ROUNDUP(AV272,0)</f>
        <v>0</v>
      </c>
      <c r="AX272" s="119"/>
      <c r="AY272" s="119"/>
      <c r="AZ272" s="119"/>
      <c r="BA272" s="119"/>
      <c r="BB272" s="119"/>
      <c r="BC272" s="141"/>
      <c r="BD272" s="12"/>
      <c r="BE272" s="653" t="s">
        <v>581</v>
      </c>
      <c r="BF272" s="653">
        <f>AU272-AV267-AV268*AV269</f>
        <v>0</v>
      </c>
      <c r="BG272" s="731">
        <f>BE261*BF261*F261</f>
        <v>0</v>
      </c>
      <c r="BH272" s="732">
        <f>ROUNDUP(BG272,0)</f>
        <v>0</v>
      </c>
      <c r="BI272" s="19"/>
      <c r="BJ272" s="12"/>
      <c r="BK272" s="307"/>
      <c r="BL272" s="349"/>
      <c r="BM272" s="12"/>
      <c r="BN272" s="285"/>
      <c r="BO272" s="15"/>
    </row>
    <row r="273" spans="1:67" x14ac:dyDescent="0.25">
      <c r="A273" s="145"/>
      <c r="B273" s="12"/>
      <c r="C273" s="115"/>
      <c r="D273" s="12"/>
      <c r="E273" s="126"/>
      <c r="F273" s="19"/>
      <c r="G273" s="12"/>
      <c r="H273" s="12"/>
      <c r="I273" s="12"/>
      <c r="J273" s="141"/>
      <c r="K273" s="12"/>
      <c r="L273" s="129"/>
      <c r="M273" s="129"/>
      <c r="N273" s="661">
        <f>L263*M263*F263</f>
        <v>0</v>
      </c>
      <c r="O273" s="136"/>
      <c r="P273" s="19"/>
      <c r="Q273" s="19"/>
      <c r="R273" s="19"/>
      <c r="S273" s="19"/>
      <c r="T273" s="19"/>
      <c r="U273" s="12"/>
      <c r="V273" s="141"/>
      <c r="W273" s="12"/>
      <c r="X273" s="129"/>
      <c r="Y273" s="129"/>
      <c r="Z273" s="731">
        <f>X261*Y261*F261</f>
        <v>0</v>
      </c>
      <c r="AA273" s="732">
        <f>ROUNDUP(Z273,0)</f>
        <v>0</v>
      </c>
      <c r="AB273" s="20"/>
      <c r="AC273" s="20"/>
      <c r="AD273" s="20"/>
      <c r="AE273" s="20"/>
      <c r="AF273" s="123"/>
      <c r="AG273" s="141"/>
      <c r="AH273" s="12"/>
      <c r="AI273" s="653"/>
      <c r="AJ273" s="653"/>
      <c r="AK273" s="731">
        <f>AI263*AJ263*F263</f>
        <v>0.5161</v>
      </c>
      <c r="AL273" s="732">
        <f>ROUNDUP(AK273,0)</f>
        <v>1</v>
      </c>
      <c r="AM273" s="11"/>
      <c r="AN273" s="19"/>
      <c r="AO273" s="19"/>
      <c r="AP273" s="19"/>
      <c r="AQ273" s="19"/>
      <c r="AR273" s="141"/>
      <c r="AS273" s="12"/>
      <c r="AT273" s="129"/>
      <c r="AU273" s="129"/>
      <c r="AV273" s="731">
        <f>AT263*AU263*F263</f>
        <v>0</v>
      </c>
      <c r="AW273" s="732">
        <f>ROUNDUP(AV273,0)</f>
        <v>0</v>
      </c>
      <c r="AX273" s="119"/>
      <c r="AY273" s="119"/>
      <c r="AZ273" s="119"/>
      <c r="BA273" s="119"/>
      <c r="BB273" s="119"/>
      <c r="BC273" s="141"/>
      <c r="BD273" s="12"/>
      <c r="BE273" s="129"/>
      <c r="BF273" s="129"/>
      <c r="BG273" s="731">
        <f>BE263*BF263*F263</f>
        <v>0</v>
      </c>
      <c r="BH273" s="732">
        <f>ROUNDUP(BG273,0)</f>
        <v>0</v>
      </c>
      <c r="BI273" s="19"/>
      <c r="BJ273" s="12"/>
      <c r="BK273" s="307"/>
      <c r="BL273" s="349"/>
      <c r="BM273" s="12"/>
      <c r="BN273" s="285"/>
      <c r="BO273" s="15"/>
    </row>
    <row r="274" spans="1:67" ht="26.25" x14ac:dyDescent="0.25">
      <c r="A274" s="145"/>
      <c r="B274" s="12"/>
      <c r="C274" s="259" t="s">
        <v>606</v>
      </c>
      <c r="D274" s="12"/>
      <c r="E274" s="126"/>
      <c r="F274" s="19"/>
      <c r="G274" s="12"/>
      <c r="H274" s="12"/>
      <c r="I274" s="12"/>
      <c r="J274" s="12"/>
      <c r="K274" s="12"/>
      <c r="L274" s="12"/>
      <c r="M274" s="12"/>
      <c r="N274" s="734">
        <f>L265*M265*F265</f>
        <v>0</v>
      </c>
      <c r="O274" s="18"/>
      <c r="P274" s="19"/>
      <c r="Q274" s="19"/>
      <c r="R274" s="19"/>
      <c r="S274" s="19"/>
      <c r="T274" s="19"/>
      <c r="U274" s="12"/>
      <c r="V274" s="122"/>
      <c r="W274" s="122"/>
      <c r="X274" s="122"/>
      <c r="Y274" s="119"/>
      <c r="Z274" s="731">
        <f>X263*Y263*F263</f>
        <v>8.4839000000000002</v>
      </c>
      <c r="AA274" s="732">
        <f>ROUNDUP(Z274,0)</f>
        <v>9</v>
      </c>
      <c r="AB274" s="20"/>
      <c r="AC274" s="20"/>
      <c r="AD274" s="20"/>
      <c r="AE274" s="20"/>
      <c r="AF274" s="123"/>
      <c r="AG274" s="122"/>
      <c r="AH274" s="122"/>
      <c r="AI274" s="656"/>
      <c r="AJ274" s="656"/>
      <c r="AK274" s="733">
        <f>AI265*AJ265*F265</f>
        <v>0</v>
      </c>
      <c r="AL274" s="659">
        <f>ROUNDUP(AK274,0)</f>
        <v>0</v>
      </c>
      <c r="AM274" s="11"/>
      <c r="AN274" s="19"/>
      <c r="AO274" s="19"/>
      <c r="AP274" s="19"/>
      <c r="AQ274" s="19"/>
      <c r="AR274" s="122"/>
      <c r="AS274" s="122"/>
      <c r="AT274" s="122"/>
      <c r="AU274" s="122"/>
      <c r="AV274" s="733">
        <f>AT265*AU265*F265</f>
        <v>0</v>
      </c>
      <c r="AW274" s="659">
        <f>ROUNDUP(AV274,0)</f>
        <v>0</v>
      </c>
      <c r="AX274" s="119"/>
      <c r="AY274" s="119"/>
      <c r="AZ274" s="119"/>
      <c r="BA274" s="119"/>
      <c r="BB274" s="119"/>
      <c r="BC274" s="122"/>
      <c r="BD274" s="122"/>
      <c r="BE274" s="122"/>
      <c r="BF274" s="122"/>
      <c r="BG274" s="733">
        <f>BE265*BF265*F265</f>
        <v>0</v>
      </c>
      <c r="BH274" s="659">
        <f>ROUNDUP(BG274,0)</f>
        <v>0</v>
      </c>
      <c r="BI274" s="19"/>
      <c r="BJ274" s="12"/>
      <c r="BK274" s="748" t="s">
        <v>411</v>
      </c>
      <c r="BL274" s="352" t="str">
        <f>Personnel!W76</f>
        <v>None</v>
      </c>
      <c r="BM274" s="276" t="s">
        <v>117</v>
      </c>
      <c r="BN274" s="285">
        <f>(N276+N278+N280+N282+W276+W278+W280+W282+AJ276+AJ278+AJ280+AJ282+AU276+AU278+AU280+AU282+BF276+BF278+BF280+BF282)*BI276</f>
        <v>0</v>
      </c>
      <c r="BO274" s="15"/>
    </row>
    <row r="275" spans="1:67" x14ac:dyDescent="0.25">
      <c r="A275" s="145"/>
      <c r="B275" s="12"/>
      <c r="C275" s="117" t="s">
        <v>30</v>
      </c>
      <c r="D275" s="12"/>
      <c r="E275" s="13" t="s">
        <v>84</v>
      </c>
      <c r="F275" s="13" t="s">
        <v>42</v>
      </c>
      <c r="G275" s="13" t="s">
        <v>41</v>
      </c>
      <c r="H275" s="65" t="s">
        <v>77</v>
      </c>
      <c r="I275" s="137" t="s">
        <v>101</v>
      </c>
      <c r="J275" s="139" t="s">
        <v>102</v>
      </c>
      <c r="K275" s="127" t="s">
        <v>98</v>
      </c>
      <c r="L275" s="13" t="s">
        <v>100</v>
      </c>
      <c r="M275" s="13" t="s">
        <v>82</v>
      </c>
      <c r="N275" s="13" t="s">
        <v>31</v>
      </c>
      <c r="O275" s="14" t="s">
        <v>69</v>
      </c>
      <c r="P275" s="13" t="s">
        <v>72</v>
      </c>
      <c r="Q275" s="13" t="s">
        <v>103</v>
      </c>
      <c r="R275" s="65" t="s">
        <v>77</v>
      </c>
      <c r="S275" s="137" t="s">
        <v>101</v>
      </c>
      <c r="T275" s="139" t="s">
        <v>102</v>
      </c>
      <c r="U275" s="12" t="s">
        <v>98</v>
      </c>
      <c r="V275" s="13" t="s">
        <v>100</v>
      </c>
      <c r="W275" s="13" t="s">
        <v>32</v>
      </c>
      <c r="X275" s="13" t="s">
        <v>69</v>
      </c>
      <c r="Y275" s="13"/>
      <c r="Z275" s="733">
        <f>X265*Y265*F265</f>
        <v>0</v>
      </c>
      <c r="AA275" s="659">
        <f>ROUNDUP(Z275,0)</f>
        <v>0</v>
      </c>
      <c r="AB275" s="13" t="s">
        <v>72</v>
      </c>
      <c r="AC275" s="13" t="s">
        <v>103</v>
      </c>
      <c r="AD275" s="13"/>
      <c r="AE275" s="65" t="s">
        <v>77</v>
      </c>
      <c r="AF275" s="137" t="s">
        <v>101</v>
      </c>
      <c r="AG275" s="139" t="s">
        <v>102</v>
      </c>
      <c r="AH275" s="12" t="s">
        <v>98</v>
      </c>
      <c r="AI275" s="13" t="s">
        <v>100</v>
      </c>
      <c r="AJ275" s="13" t="s">
        <v>33</v>
      </c>
      <c r="AK275" s="13" t="s">
        <v>69</v>
      </c>
      <c r="AL275" s="18"/>
      <c r="AM275" s="13" t="s">
        <v>72</v>
      </c>
      <c r="AN275" s="13" t="s">
        <v>103</v>
      </c>
      <c r="AO275" s="13"/>
      <c r="AP275" s="65" t="s">
        <v>77</v>
      </c>
      <c r="AQ275" s="137" t="s">
        <v>101</v>
      </c>
      <c r="AR275" s="139" t="s">
        <v>102</v>
      </c>
      <c r="AS275" s="12" t="s">
        <v>98</v>
      </c>
      <c r="AT275" s="13" t="s">
        <v>100</v>
      </c>
      <c r="AU275" s="13" t="s">
        <v>33</v>
      </c>
      <c r="AV275" s="13" t="s">
        <v>69</v>
      </c>
      <c r="AW275" s="18"/>
      <c r="AX275" s="13" t="s">
        <v>72</v>
      </c>
      <c r="AY275" s="13" t="s">
        <v>103</v>
      </c>
      <c r="AZ275" s="13"/>
      <c r="BA275" s="65" t="s">
        <v>77</v>
      </c>
      <c r="BB275" s="137" t="s">
        <v>101</v>
      </c>
      <c r="BC275" s="139" t="s">
        <v>102</v>
      </c>
      <c r="BD275" s="12" t="s">
        <v>98</v>
      </c>
      <c r="BE275" s="13" t="s">
        <v>100</v>
      </c>
      <c r="BF275" s="13" t="s">
        <v>33</v>
      </c>
      <c r="BG275" s="13" t="s">
        <v>69</v>
      </c>
      <c r="BH275" s="18"/>
      <c r="BI275" s="13" t="s">
        <v>159</v>
      </c>
      <c r="BJ275" s="12"/>
      <c r="BK275" s="276" t="s">
        <v>95</v>
      </c>
      <c r="BL275" s="349"/>
      <c r="BM275" s="276" t="s">
        <v>186</v>
      </c>
      <c r="BN275" s="285">
        <f>BN274*'Rate Tables'!P$8</f>
        <v>0</v>
      </c>
      <c r="BO275" s="15"/>
    </row>
    <row r="276" spans="1:67" x14ac:dyDescent="0.25">
      <c r="A276" s="145"/>
      <c r="B276" s="12"/>
      <c r="C276" s="115"/>
      <c r="D276" s="12"/>
      <c r="E276" s="211">
        <f>IF(H303&lt;=H304,H303,H304)</f>
        <v>0</v>
      </c>
      <c r="F276" s="19">
        <f>IF($D$4=2022,1,0)</f>
        <v>0</v>
      </c>
      <c r="G276" s="178">
        <f>IF($B303="Yes",$C$5,$I302)</f>
        <v>12</v>
      </c>
      <c r="H276" s="36">
        <f>H259</f>
        <v>3</v>
      </c>
      <c r="I276" s="138">
        <f>VLOOKUP(J259,'Lookup Tables'!$AB$22:$AC$31,2,FALSE)</f>
        <v>32</v>
      </c>
      <c r="J276" s="140">
        <f>VLOOKUP(U259,'Lookup Tables'!$AB$32:$AC$41,2,FALSE)</f>
        <v>33</v>
      </c>
      <c r="K276" s="123">
        <f>E276-J276</f>
        <v>-33</v>
      </c>
      <c r="L276" s="12">
        <f>IF(K276&gt;0,1,0)</f>
        <v>0</v>
      </c>
      <c r="M276" s="119">
        <f>M259</f>
        <v>0</v>
      </c>
      <c r="N276" s="15">
        <f>((((('Rate Tables'!B77*9)*0.02778)/5)*K276)*L276)*F276*M276*BK278</f>
        <v>0</v>
      </c>
      <c r="O276" s="28">
        <f>O259</f>
        <v>12</v>
      </c>
      <c r="P276" s="8">
        <f>IF(O276&lt;0,O276*0,1)*O276</f>
        <v>12</v>
      </c>
      <c r="Q276" s="123">
        <f>(E276-K276*F276*L276*M276)</f>
        <v>0</v>
      </c>
      <c r="R276" s="36">
        <f>S259</f>
        <v>3</v>
      </c>
      <c r="S276" s="138">
        <f>VLOOKUP(U259,'Lookup Tables'!$AB$22:$AC$31,2,FALSE)</f>
        <v>32</v>
      </c>
      <c r="T276" s="140">
        <f>VLOOKUP(AF259,'Lookup Tables'!$AB$32:$AC$41,2,FALSE)</f>
        <v>33</v>
      </c>
      <c r="U276" s="129">
        <f>Q276-T276</f>
        <v>-33</v>
      </c>
      <c r="V276" s="12">
        <f>IF(U276&gt;0,1,0)</f>
        <v>0</v>
      </c>
      <c r="W276" s="15">
        <f>((('Rate Tables'!C77*9)*0.02778)/5)*U276*F276*V276*BK278</f>
        <v>0</v>
      </c>
      <c r="X276" s="8">
        <f>AA259</f>
        <v>2</v>
      </c>
      <c r="Y276" s="12"/>
      <c r="Z276" s="119"/>
      <c r="AA276" s="18"/>
      <c r="AB276" s="8">
        <f>IF(X276&lt;0,X276*0,1)*X276</f>
        <v>2</v>
      </c>
      <c r="AC276" s="123">
        <f>Q276-(U276*V276)</f>
        <v>0</v>
      </c>
      <c r="AD276" s="12"/>
      <c r="AE276" s="36">
        <f>AE259</f>
        <v>1</v>
      </c>
      <c r="AF276" s="138">
        <f>VLOOKUP(AF259,'Lookup Tables'!$AB$22:$AC$31,2,FALSE)</f>
        <v>32</v>
      </c>
      <c r="AG276" s="140">
        <f>VLOOKUP(AQ259,'Lookup Tables'!$AB$32:$AC$41,2,FALSE)</f>
        <v>0</v>
      </c>
      <c r="AH276" s="125">
        <f>AC276-AG276</f>
        <v>0</v>
      </c>
      <c r="AI276" s="12">
        <f>IF(AH276&gt;0,1,0)</f>
        <v>0</v>
      </c>
      <c r="AJ276" s="15">
        <f>((('Rate Tables'!D77*9)*0.02778)/5)*AH276*AI276*F276*BK278</f>
        <v>0</v>
      </c>
      <c r="AK276" s="8">
        <f>AL259</f>
        <v>0</v>
      </c>
      <c r="AL276" s="18"/>
      <c r="AM276" s="8">
        <f>IF(AK276&lt;0,AK276*0,1)*AK276</f>
        <v>0</v>
      </c>
      <c r="AN276" s="123">
        <f>AC276-(AH276*AI276)</f>
        <v>0</v>
      </c>
      <c r="AO276" s="123"/>
      <c r="AP276" s="36">
        <f>AP259</f>
        <v>3</v>
      </c>
      <c r="AQ276" s="138">
        <f>VLOOKUP(AQ259,'Lookup Tables'!$AB$22:$AC$31,2,FALSE)</f>
        <v>0</v>
      </c>
      <c r="AR276" s="140">
        <f>VLOOKUP(BB259,'Lookup Tables'!$AB$32:$AC$41,2,FALSE)</f>
        <v>0</v>
      </c>
      <c r="AS276" s="125">
        <f>AN276-AR276</f>
        <v>0</v>
      </c>
      <c r="AT276" s="12">
        <f>IF(AS276&gt;0,1,0)</f>
        <v>0</v>
      </c>
      <c r="AU276" s="15">
        <f>((('Rate Tables'!E77*9)*0.02778)/5)*AS276*AT276*F276*BK278</f>
        <v>0</v>
      </c>
      <c r="AV276" s="8">
        <f>AW259</f>
        <v>0</v>
      </c>
      <c r="AW276" s="18"/>
      <c r="AX276" s="8">
        <f>IF(AV276&lt;0,AV276*0,1)*AV276</f>
        <v>0</v>
      </c>
      <c r="AY276" s="123">
        <f>AN276-(AS276*AT276)</f>
        <v>0</v>
      </c>
      <c r="AZ276" s="123"/>
      <c r="BA276" s="36">
        <f>BA259</f>
        <v>3</v>
      </c>
      <c r="BB276" s="138">
        <f>VLOOKUP(BB259,'Lookup Tables'!$AB$22:$AC$31,2,FALSE)</f>
        <v>0</v>
      </c>
      <c r="BC276" s="140">
        <v>0</v>
      </c>
      <c r="BD276" s="125">
        <f>AY276-BC276</f>
        <v>0</v>
      </c>
      <c r="BE276" s="12">
        <f>IF(BD276&gt;0,1,0)</f>
        <v>0</v>
      </c>
      <c r="BF276" s="15">
        <f>((('Rate Tables'!F77*9)*0.02778)/5)*BD276*BE276*F276*BK278</f>
        <v>0</v>
      </c>
      <c r="BG276" s="8">
        <f>BH259</f>
        <v>0</v>
      </c>
      <c r="BH276" s="18"/>
      <c r="BI276" s="19">
        <f>VLOOKUP(B255,'Lookup Tables'!$AK$22:$AM$24,2,0)</f>
        <v>0</v>
      </c>
      <c r="BJ276" s="12"/>
      <c r="BK276" s="308">
        <f>VLOOKUP(BL274,'Lookup Tables'!$AF$22:$AG$24,2,FALSE)</f>
        <v>0</v>
      </c>
      <c r="BL276" s="350"/>
      <c r="BM276" s="12"/>
      <c r="BN276" s="285"/>
      <c r="BO276" s="15"/>
    </row>
    <row r="277" spans="1:67" x14ac:dyDescent="0.25">
      <c r="A277" s="145"/>
      <c r="B277" s="12"/>
      <c r="C277" s="117" t="s">
        <v>597</v>
      </c>
      <c r="D277" s="12"/>
      <c r="E277" s="13" t="s">
        <v>84</v>
      </c>
      <c r="F277" s="13" t="s">
        <v>42</v>
      </c>
      <c r="G277" s="13" t="s">
        <v>41</v>
      </c>
      <c r="H277" s="65" t="s">
        <v>77</v>
      </c>
      <c r="I277" s="137" t="s">
        <v>105</v>
      </c>
      <c r="J277" s="139" t="s">
        <v>106</v>
      </c>
      <c r="K277" s="127" t="s">
        <v>99</v>
      </c>
      <c r="L277" s="13" t="s">
        <v>100</v>
      </c>
      <c r="M277" s="13" t="s">
        <v>82</v>
      </c>
      <c r="N277" s="13" t="s">
        <v>32</v>
      </c>
      <c r="O277" s="14" t="s">
        <v>69</v>
      </c>
      <c r="P277" s="13" t="s">
        <v>72</v>
      </c>
      <c r="Q277" s="13" t="s">
        <v>103</v>
      </c>
      <c r="R277" s="65" t="s">
        <v>77</v>
      </c>
      <c r="S277" s="137" t="s">
        <v>105</v>
      </c>
      <c r="T277" s="139" t="s">
        <v>106</v>
      </c>
      <c r="U277" s="12" t="s">
        <v>98</v>
      </c>
      <c r="V277" s="13" t="s">
        <v>100</v>
      </c>
      <c r="W277" s="13" t="s">
        <v>33</v>
      </c>
      <c r="X277" s="13" t="s">
        <v>69</v>
      </c>
      <c r="Y277" s="13"/>
      <c r="Z277" s="13"/>
      <c r="AA277" s="18"/>
      <c r="AB277" s="13" t="s">
        <v>72</v>
      </c>
      <c r="AC277" s="13" t="s">
        <v>104</v>
      </c>
      <c r="AD277" s="13"/>
      <c r="AE277" s="65" t="s">
        <v>77</v>
      </c>
      <c r="AF277" s="137" t="s">
        <v>105</v>
      </c>
      <c r="AG277" s="139" t="s">
        <v>106</v>
      </c>
      <c r="AH277" s="12" t="s">
        <v>98</v>
      </c>
      <c r="AI277" s="13" t="s">
        <v>100</v>
      </c>
      <c r="AJ277" s="13" t="s">
        <v>34</v>
      </c>
      <c r="AK277" s="13" t="s">
        <v>69</v>
      </c>
      <c r="AL277" s="18"/>
      <c r="AM277" s="13" t="s">
        <v>72</v>
      </c>
      <c r="AN277" s="13" t="s">
        <v>104</v>
      </c>
      <c r="AO277" s="13"/>
      <c r="AP277" s="65" t="s">
        <v>77</v>
      </c>
      <c r="AQ277" s="137" t="s">
        <v>105</v>
      </c>
      <c r="AR277" s="139" t="s">
        <v>106</v>
      </c>
      <c r="AS277" s="12" t="s">
        <v>98</v>
      </c>
      <c r="AT277" s="13" t="s">
        <v>100</v>
      </c>
      <c r="AU277" s="13" t="s">
        <v>34</v>
      </c>
      <c r="AV277" s="13" t="s">
        <v>69</v>
      </c>
      <c r="AW277" s="18"/>
      <c r="AX277" s="13" t="s">
        <v>72</v>
      </c>
      <c r="AY277" s="13" t="s">
        <v>104</v>
      </c>
      <c r="AZ277" s="13"/>
      <c r="BA277" s="65" t="s">
        <v>77</v>
      </c>
      <c r="BB277" s="137" t="s">
        <v>105</v>
      </c>
      <c r="BC277" s="139" t="s">
        <v>106</v>
      </c>
      <c r="BD277" s="12" t="s">
        <v>98</v>
      </c>
      <c r="BE277" s="13" t="s">
        <v>100</v>
      </c>
      <c r="BF277" s="13" t="s">
        <v>34</v>
      </c>
      <c r="BG277" s="13" t="s">
        <v>69</v>
      </c>
      <c r="BH277" s="18"/>
      <c r="BI277" s="13"/>
      <c r="BJ277" s="12"/>
      <c r="BK277" s="227" t="s">
        <v>126</v>
      </c>
      <c r="BL277" s="349" t="s">
        <v>643</v>
      </c>
      <c r="BM277" s="276" t="s">
        <v>187</v>
      </c>
      <c r="BN277" s="285">
        <f>(((O284+O285+O286+O287+AA284+AA285+AA286+AA287+AL284+AL285+AL286+AL287+AW284+AW285+AW286+AW287+BH284+BH285+BH286+BH287)*BI284)*BN278)*BL280</f>
        <v>0</v>
      </c>
      <c r="BO277" s="15"/>
    </row>
    <row r="278" spans="1:67" x14ac:dyDescent="0.25">
      <c r="A278" s="145"/>
      <c r="B278" s="12"/>
      <c r="C278" s="115"/>
      <c r="D278" s="12"/>
      <c r="E278" s="128">
        <f>E276</f>
        <v>0</v>
      </c>
      <c r="F278" s="19">
        <f>IF($D$4=2023,1,0)</f>
        <v>0</v>
      </c>
      <c r="G278" s="178">
        <f>IF($B303="Yes",$C$5,$I302)</f>
        <v>12</v>
      </c>
      <c r="H278" s="36">
        <f>H261</f>
        <v>3</v>
      </c>
      <c r="I278" s="138">
        <f>VLOOKUP(J261,'Lookup Tables'!$AB$22:$AC$31,2,FALSE)</f>
        <v>32</v>
      </c>
      <c r="J278" s="140">
        <f>VLOOKUP(U261,'Lookup Tables'!$AB$32:$AC$41,2,FALSE)</f>
        <v>33</v>
      </c>
      <c r="K278" s="123">
        <f>E278-J278</f>
        <v>-33</v>
      </c>
      <c r="L278" s="12">
        <f>IF(K278&gt;0,1,0)</f>
        <v>0</v>
      </c>
      <c r="M278" s="119">
        <f>M261</f>
        <v>0</v>
      </c>
      <c r="N278" s="15">
        <f>((((('Rate Tables'!C77*9)*0.02778)/5)*K278)*L278)*F278*M278*BK278</f>
        <v>0</v>
      </c>
      <c r="O278" s="28">
        <f>O261</f>
        <v>12</v>
      </c>
      <c r="P278" s="8">
        <f>IF(O278&lt;0,O278*0,1)*O278</f>
        <v>12</v>
      </c>
      <c r="Q278" s="123">
        <f>(E278-K278*F278*L278*M278)</f>
        <v>0</v>
      </c>
      <c r="R278" s="36">
        <f>S261</f>
        <v>3</v>
      </c>
      <c r="S278" s="138">
        <f>VLOOKUP(U261,'Lookup Tables'!$AB$22:$AC$31,2,FALSE)</f>
        <v>32</v>
      </c>
      <c r="T278" s="140">
        <f>VLOOKUP(AF261,'Lookup Tables'!$AB$32:$AC$41,2,FALSE)</f>
        <v>33</v>
      </c>
      <c r="U278" s="129">
        <f>Q278-T278</f>
        <v>-33</v>
      </c>
      <c r="V278" s="12">
        <f>IF(U278&gt;0,1,0)</f>
        <v>0</v>
      </c>
      <c r="W278" s="15">
        <f>((('Rate Tables'!D77*9)*0.02778)/5)*U278*F278*V278*BK278</f>
        <v>0</v>
      </c>
      <c r="X278" s="8">
        <f>AA261</f>
        <v>2</v>
      </c>
      <c r="Y278" s="12"/>
      <c r="Z278" s="119"/>
      <c r="AA278" s="18"/>
      <c r="AB278" s="8">
        <f>IF(X278&lt;0,X278*0,1)*X278</f>
        <v>2</v>
      </c>
      <c r="AC278" s="123">
        <f>Q278-(U278*V278)</f>
        <v>0</v>
      </c>
      <c r="AD278" s="12"/>
      <c r="AE278" s="36">
        <f>AE261</f>
        <v>1</v>
      </c>
      <c r="AF278" s="138">
        <f>VLOOKUP(AF261,'Lookup Tables'!$AB$22:$AC$31,2,FALSE)</f>
        <v>32</v>
      </c>
      <c r="AG278" s="140">
        <f>VLOOKUP(AQ261,'Lookup Tables'!$AB$32:$AC$41,2,FALSE)</f>
        <v>0</v>
      </c>
      <c r="AH278" s="125">
        <f>AC278-AG278</f>
        <v>0</v>
      </c>
      <c r="AI278" s="12">
        <f>IF(AH278&gt;0,1,0)</f>
        <v>0</v>
      </c>
      <c r="AJ278" s="15">
        <f>((('Rate Tables'!E77*9)*0.02778)/5)*AH278*AI278*F278*BK278</f>
        <v>0</v>
      </c>
      <c r="AK278" s="8">
        <f>AL261</f>
        <v>0</v>
      </c>
      <c r="AL278" s="18"/>
      <c r="AM278" s="8">
        <f>IF(AK278&lt;0,AK278*0,1)*AK278</f>
        <v>0</v>
      </c>
      <c r="AN278" s="123">
        <f>AC278-(AH278*AI278)</f>
        <v>0</v>
      </c>
      <c r="AO278" s="12"/>
      <c r="AP278" s="36">
        <f>AP261</f>
        <v>3</v>
      </c>
      <c r="AQ278" s="138">
        <f>VLOOKUP(AQ261,'Lookup Tables'!$AB$22:$AC$31,2,FALSE)</f>
        <v>0</v>
      </c>
      <c r="AR278" s="140">
        <f>VLOOKUP(BB261,'Lookup Tables'!$AB$32:$AC$41,2,FALSE)</f>
        <v>0</v>
      </c>
      <c r="AS278" s="125">
        <f>AN278-AR278</f>
        <v>0</v>
      </c>
      <c r="AT278" s="12">
        <f>IF(AS278&gt;0,1,0)</f>
        <v>0</v>
      </c>
      <c r="AU278" s="15">
        <f>((('Rate Tables'!F77*9)*0.02778)/5)*AS278*AT278*F278*BK278</f>
        <v>0</v>
      </c>
      <c r="AV278" s="8">
        <f>AW261</f>
        <v>0</v>
      </c>
      <c r="AW278" s="18"/>
      <c r="AX278" s="8">
        <f>IF(AV278&lt;0,AV278*0,1)*AV278</f>
        <v>0</v>
      </c>
      <c r="AY278" s="123">
        <f>AN278-(AS278*AT278)</f>
        <v>0</v>
      </c>
      <c r="AZ278" s="12"/>
      <c r="BA278" s="36">
        <f>BA261</f>
        <v>3</v>
      </c>
      <c r="BB278" s="138">
        <f>VLOOKUP(BB261,'Lookup Tables'!$AB$22:$AC$31,2,FALSE)</f>
        <v>0</v>
      </c>
      <c r="BC278" s="140">
        <v>0</v>
      </c>
      <c r="BD278" s="125">
        <f>AY278-BC278</f>
        <v>0</v>
      </c>
      <c r="BE278" s="12">
        <f>IF(BD278&gt;0,1,0)</f>
        <v>0</v>
      </c>
      <c r="BF278" s="15">
        <f>((('Rate Tables'!G77*9)*0.02778)/5)*BD278*BE278*F278*BK278</f>
        <v>0</v>
      </c>
      <c r="BG278" s="8">
        <f>BH261</f>
        <v>0</v>
      </c>
      <c r="BH278" s="18"/>
      <c r="BI278" s="19"/>
      <c r="BJ278" s="12"/>
      <c r="BK278" s="319">
        <f>VLOOKUP(BL274,'Lookup Tables'!$AF$26:$AG$28,2,0)</f>
        <v>0</v>
      </c>
      <c r="BL278" s="350" t="s">
        <v>644</v>
      </c>
      <c r="BM278" s="227" t="s">
        <v>582</v>
      </c>
      <c r="BN278" s="663">
        <f>IF(BN274&gt;0,1,0)</f>
        <v>0</v>
      </c>
      <c r="BO278" s="15"/>
    </row>
    <row r="279" spans="1:67" x14ac:dyDescent="0.25">
      <c r="A279" s="145"/>
      <c r="B279" s="12"/>
      <c r="C279" s="117" t="s">
        <v>664</v>
      </c>
      <c r="D279" s="12"/>
      <c r="E279" s="13" t="s">
        <v>84</v>
      </c>
      <c r="F279" s="13" t="s">
        <v>42</v>
      </c>
      <c r="G279" s="13" t="s">
        <v>41</v>
      </c>
      <c r="H279" s="65" t="s">
        <v>77</v>
      </c>
      <c r="I279" s="137" t="s">
        <v>105</v>
      </c>
      <c r="J279" s="139" t="s">
        <v>106</v>
      </c>
      <c r="K279" s="127" t="s">
        <v>99</v>
      </c>
      <c r="L279" s="13" t="s">
        <v>100</v>
      </c>
      <c r="M279" s="13" t="s">
        <v>82</v>
      </c>
      <c r="N279" s="13" t="s">
        <v>32</v>
      </c>
      <c r="O279" s="14" t="s">
        <v>69</v>
      </c>
      <c r="P279" s="13" t="s">
        <v>72</v>
      </c>
      <c r="Q279" s="13" t="s">
        <v>103</v>
      </c>
      <c r="R279" s="65" t="s">
        <v>77</v>
      </c>
      <c r="S279" s="137" t="s">
        <v>105</v>
      </c>
      <c r="T279" s="139" t="s">
        <v>106</v>
      </c>
      <c r="U279" s="12" t="s">
        <v>98</v>
      </c>
      <c r="V279" s="13" t="s">
        <v>100</v>
      </c>
      <c r="W279" s="13" t="s">
        <v>33</v>
      </c>
      <c r="X279" s="13" t="s">
        <v>69</v>
      </c>
      <c r="Y279" s="13"/>
      <c r="Z279" s="13"/>
      <c r="AA279" s="18"/>
      <c r="AB279" s="13" t="s">
        <v>72</v>
      </c>
      <c r="AC279" s="13" t="s">
        <v>104</v>
      </c>
      <c r="AD279" s="13"/>
      <c r="AE279" s="65" t="s">
        <v>77</v>
      </c>
      <c r="AF279" s="137" t="s">
        <v>105</v>
      </c>
      <c r="AG279" s="139" t="s">
        <v>106</v>
      </c>
      <c r="AH279" s="12" t="s">
        <v>98</v>
      </c>
      <c r="AI279" s="13" t="s">
        <v>100</v>
      </c>
      <c r="AJ279" s="13" t="s">
        <v>34</v>
      </c>
      <c r="AK279" s="13" t="s">
        <v>69</v>
      </c>
      <c r="AL279" s="18"/>
      <c r="AM279" s="13" t="s">
        <v>72</v>
      </c>
      <c r="AN279" s="13" t="s">
        <v>104</v>
      </c>
      <c r="AO279" s="13"/>
      <c r="AP279" s="65" t="s">
        <v>77</v>
      </c>
      <c r="AQ279" s="137" t="s">
        <v>105</v>
      </c>
      <c r="AR279" s="139" t="s">
        <v>106</v>
      </c>
      <c r="AS279" s="12" t="s">
        <v>98</v>
      </c>
      <c r="AT279" s="13" t="s">
        <v>100</v>
      </c>
      <c r="AU279" s="13" t="s">
        <v>34</v>
      </c>
      <c r="AV279" s="13" t="s">
        <v>69</v>
      </c>
      <c r="AW279" s="18"/>
      <c r="AX279" s="13" t="s">
        <v>72</v>
      </c>
      <c r="AY279" s="13" t="s">
        <v>104</v>
      </c>
      <c r="AZ279" s="13"/>
      <c r="BA279" s="65" t="s">
        <v>77</v>
      </c>
      <c r="BB279" s="137" t="s">
        <v>105</v>
      </c>
      <c r="BC279" s="139" t="s">
        <v>106</v>
      </c>
      <c r="BD279" s="12" t="s">
        <v>98</v>
      </c>
      <c r="BE279" s="13" t="s">
        <v>100</v>
      </c>
      <c r="BF279" s="13" t="s">
        <v>34</v>
      </c>
      <c r="BG279" s="13" t="s">
        <v>69</v>
      </c>
      <c r="BH279" s="18"/>
      <c r="BI279" s="19"/>
      <c r="BJ279" s="12"/>
      <c r="BK279" s="227"/>
      <c r="BL279" s="358" t="str">
        <f>IF(BL274="50% sum","no",Personnel!W78)</f>
        <v>No</v>
      </c>
      <c r="BM279" s="12"/>
      <c r="BN279" s="285"/>
      <c r="BO279" s="15"/>
    </row>
    <row r="280" spans="1:67" x14ac:dyDescent="0.25">
      <c r="A280" s="145"/>
      <c r="B280" s="12"/>
      <c r="C280" s="115"/>
      <c r="D280" s="12"/>
      <c r="E280" s="128">
        <f>E278</f>
        <v>0</v>
      </c>
      <c r="F280" s="19">
        <f>IF($D$4=2024,1,0)</f>
        <v>1</v>
      </c>
      <c r="G280" s="178">
        <f>IF($B303="Yes",$C$5,$I302)</f>
        <v>12</v>
      </c>
      <c r="H280" s="36">
        <f>H263</f>
        <v>3</v>
      </c>
      <c r="I280" s="138">
        <f>VLOOKUP(J263,'Lookup Tables'!$AB$22:$AC$31,2,FALSE)</f>
        <v>32</v>
      </c>
      <c r="J280" s="140">
        <f>VLOOKUP(U263,'Lookup Tables'!$AB$32:$AC$41,2,FALSE)</f>
        <v>33</v>
      </c>
      <c r="K280" s="123">
        <f>E280-J280</f>
        <v>-33</v>
      </c>
      <c r="L280" s="12">
        <f>IF(K280&gt;0,1,0)</f>
        <v>0</v>
      </c>
      <c r="M280" s="119">
        <f>M263</f>
        <v>0</v>
      </c>
      <c r="N280" s="15">
        <f>((((('Rate Tables'!D77*9)*0.02778)/5)*K280)*L280)*F280*M280*BK278</f>
        <v>0</v>
      </c>
      <c r="O280" s="28">
        <f>O263</f>
        <v>12</v>
      </c>
      <c r="P280" s="8">
        <f>IF(O280&lt;0,O280*0,1)*O280</f>
        <v>12</v>
      </c>
      <c r="Q280" s="123">
        <f>(E280-K280*F280*L280*M280)</f>
        <v>0</v>
      </c>
      <c r="R280" s="36">
        <f>S263</f>
        <v>3</v>
      </c>
      <c r="S280" s="138">
        <f>VLOOKUP(U263,'Lookup Tables'!$AB$22:$AC$31,2,FALSE)</f>
        <v>32</v>
      </c>
      <c r="T280" s="140">
        <f>VLOOKUP(AF263,'Lookup Tables'!$AB$32:$AC$41,2,FALSE)</f>
        <v>33</v>
      </c>
      <c r="U280" s="129">
        <f>Q280-T280</f>
        <v>-33</v>
      </c>
      <c r="V280" s="12">
        <f>IF(U280&gt;0,1,0)</f>
        <v>0</v>
      </c>
      <c r="W280" s="15">
        <f>((('Rate Tables'!E77*9)*0.02778)/5)*U280*F280*V280*BK278</f>
        <v>0</v>
      </c>
      <c r="X280" s="8">
        <f>AA263</f>
        <v>2</v>
      </c>
      <c r="Y280" s="12"/>
      <c r="Z280" s="119"/>
      <c r="AA280" s="18"/>
      <c r="AB280" s="8">
        <f>IF(X280&lt;0,X280*0,1)*X280</f>
        <v>2</v>
      </c>
      <c r="AC280" s="123">
        <f>Q280-(U280*V280)</f>
        <v>0</v>
      </c>
      <c r="AD280" s="12"/>
      <c r="AE280" s="36">
        <f>AE263</f>
        <v>1</v>
      </c>
      <c r="AF280" s="138">
        <f>VLOOKUP(AF263,'Lookup Tables'!$AB$22:$AC$31,2,FALSE)</f>
        <v>32</v>
      </c>
      <c r="AG280" s="140">
        <f>VLOOKUP(AQ263,'Lookup Tables'!$AB$32:$AC$41,2,FALSE)</f>
        <v>0</v>
      </c>
      <c r="AH280" s="125">
        <f>AC280-AG280</f>
        <v>0</v>
      </c>
      <c r="AI280" s="12">
        <f>IF(AH280&gt;0,1,0)</f>
        <v>0</v>
      </c>
      <c r="AJ280" s="15">
        <f>((('Rate Tables'!F77*9)*0.02778)/5)*AH280*AI280*F280*BK278</f>
        <v>0</v>
      </c>
      <c r="AK280" s="8">
        <f>AL263</f>
        <v>0</v>
      </c>
      <c r="AL280" s="18"/>
      <c r="AM280" s="8">
        <f>IF(AK280&lt;0,AK280*0,1)*AK280</f>
        <v>0</v>
      </c>
      <c r="AN280" s="123">
        <f>AC280-(AH280*AI280)</f>
        <v>0</v>
      </c>
      <c r="AO280" s="12"/>
      <c r="AP280" s="36">
        <f>AP263</f>
        <v>3</v>
      </c>
      <c r="AQ280" s="138">
        <f>VLOOKUP(AQ263,'Lookup Tables'!$AB$22:$AC$31,2,FALSE)</f>
        <v>0</v>
      </c>
      <c r="AR280" s="140">
        <f>VLOOKUP(BB263,'Lookup Tables'!$AB$32:$AC$41,2,FALSE)</f>
        <v>0</v>
      </c>
      <c r="AS280" s="125">
        <f>AN280-AR280</f>
        <v>0</v>
      </c>
      <c r="AT280" s="12">
        <f>IF(AS280&gt;0,1,0)</f>
        <v>0</v>
      </c>
      <c r="AU280" s="15">
        <f>((('Rate Tables'!G77*9)*0.02778)/5)*AS280*AT280*F280*BK278</f>
        <v>0</v>
      </c>
      <c r="AV280" s="8">
        <f>AW263</f>
        <v>0</v>
      </c>
      <c r="AW280" s="18"/>
      <c r="AX280" s="8">
        <f>IF(AV280&lt;0,AV280*0,1)*AV280</f>
        <v>0</v>
      </c>
      <c r="AY280" s="123">
        <f>AN280-(AS280*AT280)</f>
        <v>0</v>
      </c>
      <c r="AZ280" s="12"/>
      <c r="BA280" s="36">
        <f>BA263</f>
        <v>3</v>
      </c>
      <c r="BB280" s="138">
        <f>VLOOKUP(BB263,'Lookup Tables'!$AB$22:$AC$31,2,FALSE)</f>
        <v>0</v>
      </c>
      <c r="BC280" s="140">
        <v>0</v>
      </c>
      <c r="BD280" s="125">
        <f>AY280-BC280</f>
        <v>0</v>
      </c>
      <c r="BE280" s="12">
        <f>IF(BD280&gt;0,1,0)</f>
        <v>0</v>
      </c>
      <c r="BF280" s="15">
        <f>((('Rate Tables'!H77*9)*0.02778)/5)*BD280*BE280*F280*BK278</f>
        <v>0</v>
      </c>
      <c r="BG280" s="8">
        <f>BH263</f>
        <v>0</v>
      </c>
      <c r="BH280" s="18"/>
      <c r="BI280" s="19"/>
      <c r="BJ280" s="12"/>
      <c r="BK280" s="227"/>
      <c r="BL280" s="349">
        <f>IF(BL279="yes",0.5,1)</f>
        <v>1</v>
      </c>
      <c r="BM280" s="12"/>
      <c r="BN280" s="285"/>
      <c r="BO280" s="15"/>
    </row>
    <row r="281" spans="1:67" x14ac:dyDescent="0.25">
      <c r="A281" s="145"/>
      <c r="B281" s="12"/>
      <c r="C281" s="819" t="s">
        <v>732</v>
      </c>
      <c r="D281" s="12"/>
      <c r="E281" s="13" t="s">
        <v>84</v>
      </c>
      <c r="F281" s="13" t="s">
        <v>42</v>
      </c>
      <c r="G281" s="13" t="s">
        <v>41</v>
      </c>
      <c r="H281" s="65" t="s">
        <v>77</v>
      </c>
      <c r="I281" s="137" t="s">
        <v>105</v>
      </c>
      <c r="J281" s="139" t="s">
        <v>106</v>
      </c>
      <c r="K281" s="127" t="s">
        <v>99</v>
      </c>
      <c r="L281" s="13" t="s">
        <v>100</v>
      </c>
      <c r="M281" s="13" t="s">
        <v>82</v>
      </c>
      <c r="N281" s="13" t="s">
        <v>32</v>
      </c>
      <c r="O281" s="14" t="s">
        <v>69</v>
      </c>
      <c r="P281" s="13" t="s">
        <v>72</v>
      </c>
      <c r="Q281" s="13" t="s">
        <v>103</v>
      </c>
      <c r="R281" s="65" t="s">
        <v>77</v>
      </c>
      <c r="S281" s="137" t="s">
        <v>105</v>
      </c>
      <c r="T281" s="139" t="s">
        <v>106</v>
      </c>
      <c r="U281" s="12" t="s">
        <v>98</v>
      </c>
      <c r="V281" s="13" t="s">
        <v>100</v>
      </c>
      <c r="W281" s="13" t="s">
        <v>33</v>
      </c>
      <c r="X281" s="13" t="s">
        <v>69</v>
      </c>
      <c r="Y281" s="13"/>
      <c r="Z281" s="13"/>
      <c r="AA281" s="18"/>
      <c r="AB281" s="13" t="s">
        <v>72</v>
      </c>
      <c r="AC281" s="13" t="s">
        <v>104</v>
      </c>
      <c r="AD281" s="13"/>
      <c r="AE281" s="65" t="s">
        <v>77</v>
      </c>
      <c r="AF281" s="137" t="s">
        <v>105</v>
      </c>
      <c r="AG281" s="139" t="s">
        <v>106</v>
      </c>
      <c r="AH281" s="12" t="s">
        <v>98</v>
      </c>
      <c r="AI281" s="13" t="s">
        <v>100</v>
      </c>
      <c r="AJ281" s="13" t="s">
        <v>34</v>
      </c>
      <c r="AK281" s="13" t="s">
        <v>69</v>
      </c>
      <c r="AL281" s="18"/>
      <c r="AM281" s="13" t="s">
        <v>72</v>
      </c>
      <c r="AN281" s="13" t="s">
        <v>104</v>
      </c>
      <c r="AO281" s="13"/>
      <c r="AP281" s="65" t="s">
        <v>77</v>
      </c>
      <c r="AQ281" s="137" t="s">
        <v>105</v>
      </c>
      <c r="AR281" s="139" t="s">
        <v>106</v>
      </c>
      <c r="AS281" s="12" t="s">
        <v>98</v>
      </c>
      <c r="AT281" s="13" t="s">
        <v>100</v>
      </c>
      <c r="AU281" s="13" t="s">
        <v>34</v>
      </c>
      <c r="AV281" s="13" t="s">
        <v>69</v>
      </c>
      <c r="AW281" s="18"/>
      <c r="AX281" s="13" t="s">
        <v>72</v>
      </c>
      <c r="AY281" s="13" t="s">
        <v>104</v>
      </c>
      <c r="AZ281" s="13"/>
      <c r="BA281" s="65" t="s">
        <v>77</v>
      </c>
      <c r="BB281" s="137" t="s">
        <v>105</v>
      </c>
      <c r="BC281" s="139" t="s">
        <v>106</v>
      </c>
      <c r="BD281" s="12" t="s">
        <v>98</v>
      </c>
      <c r="BE281" s="13" t="s">
        <v>100</v>
      </c>
      <c r="BF281" s="13" t="s">
        <v>34</v>
      </c>
      <c r="BG281" s="13" t="s">
        <v>69</v>
      </c>
      <c r="BH281" s="18"/>
      <c r="BI281" s="19"/>
      <c r="BJ281" s="12"/>
      <c r="BK281" s="227"/>
      <c r="BL281" s="349"/>
      <c r="BM281" s="12"/>
      <c r="BN281" s="285"/>
      <c r="BO281" s="15"/>
    </row>
    <row r="282" spans="1:67" x14ac:dyDescent="0.25">
      <c r="A282" s="145"/>
      <c r="B282" s="12"/>
      <c r="C282" s="115"/>
      <c r="D282" s="12"/>
      <c r="E282" s="128">
        <f>E280</f>
        <v>0</v>
      </c>
      <c r="F282" s="19">
        <f>IF($D$4=2025,1,0)</f>
        <v>0</v>
      </c>
      <c r="G282" s="178">
        <f>IF($B303="Yes",$C$5,$I302)</f>
        <v>12</v>
      </c>
      <c r="H282" s="36">
        <f>H265</f>
        <v>3</v>
      </c>
      <c r="I282" s="138">
        <f>VLOOKUP(J265,'Lookup Tables'!$AB$22:$AC$31,2,FALSE)</f>
        <v>32</v>
      </c>
      <c r="J282" s="140">
        <f>VLOOKUP(U265,'Lookup Tables'!$AB$32:$AC$41,2,FALSE)</f>
        <v>33</v>
      </c>
      <c r="K282" s="123">
        <f>E282-J282</f>
        <v>-33</v>
      </c>
      <c r="L282" s="12">
        <f>IF(K282&gt;0,1,0)</f>
        <v>0</v>
      </c>
      <c r="M282" s="119">
        <f>M265</f>
        <v>0</v>
      </c>
      <c r="N282" s="15">
        <f>((((('Rate Tables'!E77*9)*0.02778)/5)*K282)*L282)*F282*M282*BK278</f>
        <v>0</v>
      </c>
      <c r="O282" s="28">
        <f>O265</f>
        <v>12</v>
      </c>
      <c r="P282" s="8">
        <f>IF(O282&lt;0,O282*0,1)*O282</f>
        <v>12</v>
      </c>
      <c r="Q282" s="123">
        <f>(E282-K282*F282*L282*M282)</f>
        <v>0</v>
      </c>
      <c r="R282" s="36">
        <f>S265</f>
        <v>3</v>
      </c>
      <c r="S282" s="138">
        <f>VLOOKUP(U265,'Lookup Tables'!$AB$22:$AC$31,2,FALSE)</f>
        <v>32</v>
      </c>
      <c r="T282" s="140">
        <f>VLOOKUP(AF265,'Lookup Tables'!$AB$32:$AC$41,2,FALSE)</f>
        <v>33</v>
      </c>
      <c r="U282" s="129">
        <f>Q282-T282</f>
        <v>-33</v>
      </c>
      <c r="V282" s="12">
        <f>IF(U282&gt;0,1,0)</f>
        <v>0</v>
      </c>
      <c r="W282" s="15">
        <f>((('Rate Tables'!F77*9)*0.02778)/5)*U282*F282*V282*BK278</f>
        <v>0</v>
      </c>
      <c r="X282" s="8">
        <f>AA265</f>
        <v>2</v>
      </c>
      <c r="Y282" s="12"/>
      <c r="Z282" s="119"/>
      <c r="AA282" s="18"/>
      <c r="AB282" s="8">
        <f>IF(X282&lt;0,X282*0,1)*X282</f>
        <v>2</v>
      </c>
      <c r="AC282" s="123">
        <f>Q282-(U282*V282)</f>
        <v>0</v>
      </c>
      <c r="AD282" s="12"/>
      <c r="AE282" s="36">
        <f>AE265</f>
        <v>1</v>
      </c>
      <c r="AF282" s="138">
        <f>VLOOKUP(AF265,'Lookup Tables'!$AB$22:$AC$31,2,FALSE)</f>
        <v>32</v>
      </c>
      <c r="AG282" s="140">
        <f>VLOOKUP(AQ265,'Lookup Tables'!$AB$32:$AC$41,2,FALSE)</f>
        <v>0</v>
      </c>
      <c r="AH282" s="125">
        <f>AC282-AG282</f>
        <v>0</v>
      </c>
      <c r="AI282" s="12">
        <f>IF(AH282&gt;0,1,0)</f>
        <v>0</v>
      </c>
      <c r="AJ282" s="15">
        <f>((('Rate Tables'!G77*9)*0.02778)/5)*AH282*AI282*F282*BK278</f>
        <v>0</v>
      </c>
      <c r="AK282" s="8">
        <f>AL265</f>
        <v>0</v>
      </c>
      <c r="AL282" s="18"/>
      <c r="AM282" s="8">
        <f>IF(AK282&lt;0,AK282*0,1)*AK282</f>
        <v>0</v>
      </c>
      <c r="AN282" s="123">
        <f>AC282-(AH282*AI282)</f>
        <v>0</v>
      </c>
      <c r="AO282" s="12"/>
      <c r="AP282" s="36">
        <f>AP265</f>
        <v>3</v>
      </c>
      <c r="AQ282" s="138">
        <f>VLOOKUP(AQ265,'Lookup Tables'!$AB$22:$AC$31,2,FALSE)</f>
        <v>0</v>
      </c>
      <c r="AR282" s="140">
        <f>VLOOKUP(BB265,'Lookup Tables'!$AB$32:$AC$41,2,FALSE)</f>
        <v>0</v>
      </c>
      <c r="AS282" s="125">
        <f>AN282-AR282</f>
        <v>0</v>
      </c>
      <c r="AT282" s="12">
        <f>IF(AS282&gt;0,1,0)</f>
        <v>0</v>
      </c>
      <c r="AU282" s="15">
        <f>((('Rate Tables'!H77*9)*0.02778)/5)*AS282*AT282*F282*BK278</f>
        <v>0</v>
      </c>
      <c r="AV282" s="8">
        <f>AW265</f>
        <v>0</v>
      </c>
      <c r="AW282" s="18"/>
      <c r="AX282" s="8">
        <f>IF(AV282&lt;0,AV282*0,1)*AV282</f>
        <v>0</v>
      </c>
      <c r="AY282" s="123">
        <f>AN282-(AS282*AT282)</f>
        <v>0</v>
      </c>
      <c r="AZ282" s="12"/>
      <c r="BA282" s="36">
        <f>BA265</f>
        <v>3</v>
      </c>
      <c r="BB282" s="138">
        <f>VLOOKUP(BB265,'Lookup Tables'!$AB$22:$AC$31,2,FALSE)</f>
        <v>0</v>
      </c>
      <c r="BC282" s="140">
        <v>0</v>
      </c>
      <c r="BD282" s="125">
        <f>AY282-BC282</f>
        <v>0</v>
      </c>
      <c r="BE282" s="12">
        <f>IF(BD282&gt;0,1,0)</f>
        <v>0</v>
      </c>
      <c r="BF282" s="15">
        <f>((('Rate Tables'!I77*9)*0.02778)/5)*BD282*BE282*F282*BK278</f>
        <v>0</v>
      </c>
      <c r="BG282" s="8">
        <f>BH265</f>
        <v>0</v>
      </c>
      <c r="BH282" s="18"/>
      <c r="BI282" s="19"/>
      <c r="BJ282" s="12"/>
      <c r="BK282" s="227"/>
      <c r="BL282" s="349"/>
      <c r="BM282" s="12"/>
      <c r="BN282" s="285"/>
      <c r="BO282" s="15"/>
    </row>
    <row r="283" spans="1:67" x14ac:dyDescent="0.25">
      <c r="A283" s="145"/>
      <c r="B283" s="12"/>
      <c r="C283" s="743"/>
      <c r="D283" s="12"/>
      <c r="E283" s="12"/>
      <c r="F283" s="12"/>
      <c r="G283" s="12"/>
      <c r="H283" s="12"/>
      <c r="I283" s="12" t="s">
        <v>641</v>
      </c>
      <c r="J283" s="12" t="s">
        <v>642</v>
      </c>
      <c r="K283" s="12" t="s">
        <v>164</v>
      </c>
      <c r="L283" s="13" t="s">
        <v>165</v>
      </c>
      <c r="M283" s="608" t="s">
        <v>128</v>
      </c>
      <c r="N283" s="147" t="s">
        <v>129</v>
      </c>
      <c r="O283" s="135" t="s">
        <v>130</v>
      </c>
      <c r="P283" s="12"/>
      <c r="Q283" s="12"/>
      <c r="R283" s="12"/>
      <c r="S283" s="12"/>
      <c r="T283" s="12"/>
      <c r="U283" s="12"/>
      <c r="V283" s="12" t="s">
        <v>166</v>
      </c>
      <c r="W283" s="12" t="s">
        <v>163</v>
      </c>
      <c r="X283" s="13" t="s">
        <v>165</v>
      </c>
      <c r="Y283" s="650" t="s">
        <v>128</v>
      </c>
      <c r="Z283" s="13" t="s">
        <v>129</v>
      </c>
      <c r="AA283" s="135" t="s">
        <v>130</v>
      </c>
      <c r="AB283" s="12"/>
      <c r="AC283" s="12"/>
      <c r="AD283" s="12"/>
      <c r="AE283" s="12"/>
      <c r="AF283" s="12"/>
      <c r="AG283" s="12" t="s">
        <v>166</v>
      </c>
      <c r="AH283" s="12" t="s">
        <v>163</v>
      </c>
      <c r="AI283" s="13" t="s">
        <v>165</v>
      </c>
      <c r="AJ283" s="650" t="s">
        <v>128</v>
      </c>
      <c r="AK283" s="13" t="s">
        <v>129</v>
      </c>
      <c r="AL283" s="135" t="s">
        <v>130</v>
      </c>
      <c r="AM283" s="11"/>
      <c r="AN283" s="13"/>
      <c r="AO283" s="13"/>
      <c r="AP283" s="13"/>
      <c r="AQ283" s="13"/>
      <c r="AR283" s="12" t="s">
        <v>166</v>
      </c>
      <c r="AS283" s="12" t="s">
        <v>163</v>
      </c>
      <c r="AT283" s="13" t="s">
        <v>165</v>
      </c>
      <c r="AU283" s="650" t="s">
        <v>128</v>
      </c>
      <c r="AV283" s="13" t="s">
        <v>129</v>
      </c>
      <c r="AW283" s="135" t="s">
        <v>130</v>
      </c>
      <c r="AX283" s="153"/>
      <c r="AY283" s="153"/>
      <c r="AZ283" s="153"/>
      <c r="BA283" s="153"/>
      <c r="BB283" s="153"/>
      <c r="BC283" s="12" t="s">
        <v>166</v>
      </c>
      <c r="BD283" s="12" t="s">
        <v>163</v>
      </c>
      <c r="BE283" s="13" t="s">
        <v>165</v>
      </c>
      <c r="BF283" s="650" t="s">
        <v>128</v>
      </c>
      <c r="BG283" s="13" t="s">
        <v>129</v>
      </c>
      <c r="BH283" s="135" t="s">
        <v>130</v>
      </c>
      <c r="BI283" s="13" t="s">
        <v>159</v>
      </c>
      <c r="BJ283" s="12"/>
      <c r="BK283" s="227"/>
      <c r="BL283" s="350"/>
      <c r="BM283" s="12"/>
      <c r="BN283" s="285"/>
      <c r="BO283" s="15"/>
    </row>
    <row r="284" spans="1:67" x14ac:dyDescent="0.25">
      <c r="A284" s="145"/>
      <c r="B284" s="12"/>
      <c r="C284" s="114"/>
      <c r="D284" s="12"/>
      <c r="E284" s="12"/>
      <c r="F284" s="12"/>
      <c r="G284" s="12"/>
      <c r="H284" s="12"/>
      <c r="I284" s="12">
        <f>G259</f>
        <v>12</v>
      </c>
      <c r="J284" s="125">
        <f>BK268</f>
        <v>9</v>
      </c>
      <c r="K284" s="758">
        <f>I284-J284</f>
        <v>3</v>
      </c>
      <c r="L284" s="123">
        <f>V284</f>
        <v>0</v>
      </c>
      <c r="M284" s="609">
        <f>IF(M288&lt;=0,0,ROUNDUP(M288,0))</f>
        <v>3</v>
      </c>
      <c r="N284" s="161">
        <f>'Rate Tables'!$P$17</f>
        <v>910</v>
      </c>
      <c r="O284" s="136">
        <f>(M284*N284)*F276*M276</f>
        <v>0</v>
      </c>
      <c r="P284" s="12"/>
      <c r="Q284" s="12"/>
      <c r="R284" s="12"/>
      <c r="S284" s="12"/>
      <c r="T284" s="12"/>
      <c r="U284" s="12"/>
      <c r="V284" s="12">
        <f>VLOOKUP((U276*V276),'Lookup Tables'!$E$38:$F$103,2,0)</f>
        <v>0</v>
      </c>
      <c r="W284" s="12">
        <f>K284-(M284*M276)</f>
        <v>3</v>
      </c>
      <c r="X284" s="119">
        <f>AG284</f>
        <v>0</v>
      </c>
      <c r="Y284" s="609">
        <f>IF(Y288&lt;=0,0,ROUNDUP(Y288,0))</f>
        <v>3</v>
      </c>
      <c r="Z284" s="129">
        <f>'Rate Tables'!$P$18</f>
        <v>910</v>
      </c>
      <c r="AA284" s="136">
        <f>Y284*Z284*F276*V276</f>
        <v>0</v>
      </c>
      <c r="AB284" s="12"/>
      <c r="AC284" s="12"/>
      <c r="AD284" s="12"/>
      <c r="AE284" s="12"/>
      <c r="AF284" s="12"/>
      <c r="AG284" s="12">
        <f>VLOOKUP(AH276,'Lookup Tables'!$E$38:$F$103,2,0)</f>
        <v>0</v>
      </c>
      <c r="AH284" s="125">
        <f>W284-(Y284*V276)</f>
        <v>3</v>
      </c>
      <c r="AI284" s="119">
        <f>AR284</f>
        <v>0</v>
      </c>
      <c r="AJ284" s="609">
        <f>IF(AJ288&lt;=0,0,ROUNDUP(AJ288,0))</f>
        <v>3</v>
      </c>
      <c r="AK284" s="129">
        <f>'Rate Tables'!$P$19</f>
        <v>910</v>
      </c>
      <c r="AL284" s="737">
        <f>AJ284*AK284*F276*AI276</f>
        <v>0</v>
      </c>
      <c r="AM284" s="11"/>
      <c r="AN284" s="19"/>
      <c r="AO284" s="19"/>
      <c r="AP284" s="19"/>
      <c r="AQ284" s="19"/>
      <c r="AR284" s="12">
        <f>VLOOKUP((AS276*AT276),'Lookup Tables'!$E$38:$F$103,2,0)</f>
        <v>0</v>
      </c>
      <c r="AS284" s="125">
        <f>AH284-(AJ284*AI276)</f>
        <v>3</v>
      </c>
      <c r="AT284" s="119">
        <f>BC284</f>
        <v>0</v>
      </c>
      <c r="AU284" s="609">
        <f>IF(AU288&lt;=0,0,ROUNDUP(AU288,0))</f>
        <v>3</v>
      </c>
      <c r="AV284" s="129">
        <f>'Rate Tables'!$P$20</f>
        <v>928.2</v>
      </c>
      <c r="AW284" s="136">
        <f>AU284*AV284*F276*AT276</f>
        <v>0</v>
      </c>
      <c r="AX284" s="125"/>
      <c r="AY284" s="125"/>
      <c r="AZ284" s="125"/>
      <c r="BA284" s="125"/>
      <c r="BB284" s="125"/>
      <c r="BC284" s="12">
        <f>VLOOKUP((BD276*BE276),'Lookup Tables'!$E$38:$F$103,2,0)</f>
        <v>0</v>
      </c>
      <c r="BD284" s="125">
        <f>AS284-(AU284*AT276)</f>
        <v>3</v>
      </c>
      <c r="BE284" s="119">
        <v>0</v>
      </c>
      <c r="BF284" s="609">
        <f>IF(BF288&lt;=0,0,ROUNDUP(BF288,0))</f>
        <v>3</v>
      </c>
      <c r="BG284" s="129">
        <f>'Rate Tables'!$P$21</f>
        <v>946.76</v>
      </c>
      <c r="BH284" s="136">
        <f>BF284*BG284*F276*BE276</f>
        <v>0</v>
      </c>
      <c r="BI284" s="19">
        <f>VLOOKUP(B255,'Lookup Tables'!$AK$22:$AM$24,2,0)</f>
        <v>0</v>
      </c>
      <c r="BJ284" s="12"/>
      <c r="BK284" s="307"/>
      <c r="BL284" s="358"/>
      <c r="BM284" s="12"/>
      <c r="BN284" s="285"/>
      <c r="BO284" s="15"/>
    </row>
    <row r="285" spans="1:67" x14ac:dyDescent="0.25">
      <c r="A285" s="145"/>
      <c r="B285" s="12"/>
      <c r="C285" s="114"/>
      <c r="D285" s="12"/>
      <c r="E285" s="12"/>
      <c r="F285" s="12"/>
      <c r="G285" s="12"/>
      <c r="H285" s="12"/>
      <c r="I285" s="12">
        <f>G261</f>
        <v>12</v>
      </c>
      <c r="J285" s="125">
        <f>J284</f>
        <v>9</v>
      </c>
      <c r="K285" s="758">
        <f>I285-J285</f>
        <v>3</v>
      </c>
      <c r="L285" s="123">
        <f>V285</f>
        <v>0</v>
      </c>
      <c r="M285" s="609">
        <f>IF(M289&lt;=0,0,ROUNDUP(M289,0))</f>
        <v>3</v>
      </c>
      <c r="N285" s="161">
        <f>'Rate Tables'!$P$18</f>
        <v>910</v>
      </c>
      <c r="O285" s="136">
        <f>(M285*N285)*F278*M278</f>
        <v>0</v>
      </c>
      <c r="P285" s="12"/>
      <c r="Q285" s="12"/>
      <c r="R285" s="12"/>
      <c r="S285" s="12"/>
      <c r="T285" s="12"/>
      <c r="U285" s="12"/>
      <c r="V285" s="12">
        <f>VLOOKUP((U278*V278),'Lookup Tables'!$E$38:$F$103,2,0)</f>
        <v>0</v>
      </c>
      <c r="W285" s="12">
        <f>K285-(M285*M278)</f>
        <v>3</v>
      </c>
      <c r="X285" s="119">
        <f>AG285</f>
        <v>0</v>
      </c>
      <c r="Y285" s="609">
        <f>IF(Y289&lt;=0,0,ROUNDUP(Y289,0))</f>
        <v>3</v>
      </c>
      <c r="Z285" s="129">
        <f>'Rate Tables'!$P$19</f>
        <v>910</v>
      </c>
      <c r="AA285" s="136">
        <f>Y285*Z285*F278*V278</f>
        <v>0</v>
      </c>
      <c r="AB285" s="12"/>
      <c r="AC285" s="12"/>
      <c r="AD285" s="12"/>
      <c r="AE285" s="12"/>
      <c r="AF285" s="12"/>
      <c r="AG285" s="12">
        <f>VLOOKUP(AH278,'Lookup Tables'!$E$38:$F$103,2,0)</f>
        <v>0</v>
      </c>
      <c r="AH285" s="125">
        <f>W285-(Y285*V278)</f>
        <v>3</v>
      </c>
      <c r="AI285" s="119">
        <f>AR285</f>
        <v>0</v>
      </c>
      <c r="AJ285" s="609">
        <f>IF(AJ289=0,0,ROUNDUP(AJ289,0))</f>
        <v>3</v>
      </c>
      <c r="AK285" s="129">
        <f>'Rate Tables'!$P$20</f>
        <v>928.2</v>
      </c>
      <c r="AL285" s="737">
        <f>AJ285*AK285*F278*AI278</f>
        <v>0</v>
      </c>
      <c r="AM285" s="11"/>
      <c r="AN285" s="19"/>
      <c r="AO285" s="19"/>
      <c r="AP285" s="19"/>
      <c r="AQ285" s="19"/>
      <c r="AR285" s="12">
        <f>VLOOKUP((AS278*AT278),'Lookup Tables'!$E$38:$F$103,2,0)</f>
        <v>0</v>
      </c>
      <c r="AS285" s="125">
        <f>AH285-(AJ285*AI278)</f>
        <v>3</v>
      </c>
      <c r="AT285" s="119">
        <f>BC285</f>
        <v>0</v>
      </c>
      <c r="AU285" s="609">
        <f>IF(AU289&lt;=0,0,ROUNDUP(AU289,0))</f>
        <v>3</v>
      </c>
      <c r="AV285" s="129">
        <f>'Rate Tables'!$P$21</f>
        <v>946.76</v>
      </c>
      <c r="AW285" s="737">
        <f>AU285*AV285*F278*AT278</f>
        <v>0</v>
      </c>
      <c r="AX285" s="15"/>
      <c r="AY285" s="15"/>
      <c r="AZ285" s="15"/>
      <c r="BA285" s="15"/>
      <c r="BB285" s="15"/>
      <c r="BC285" s="12">
        <f>VLOOKUP((BD278*BE278),'Lookup Tables'!$E$38:$F$103,2,0)</f>
        <v>0</v>
      </c>
      <c r="BD285" s="125">
        <f>AS285-(AU285*AT278)</f>
        <v>3</v>
      </c>
      <c r="BE285" s="119">
        <v>0</v>
      </c>
      <c r="BF285" s="609">
        <f>IF(BF289&lt;=0,0,ROUNDUP(BF289,0))</f>
        <v>3</v>
      </c>
      <c r="BG285" s="129">
        <f>'Rate Tables'!$P$22</f>
        <v>965.7</v>
      </c>
      <c r="BH285" s="737">
        <f>BF285*BG285*F278*BE278</f>
        <v>0</v>
      </c>
      <c r="BI285" s="19"/>
      <c r="BJ285" s="12"/>
      <c r="BK285" s="307"/>
      <c r="BL285" s="349"/>
      <c r="BM285" s="12"/>
      <c r="BN285" s="285"/>
      <c r="BO285" s="15"/>
    </row>
    <row r="286" spans="1:67" x14ac:dyDescent="0.25">
      <c r="A286" s="145"/>
      <c r="B286" s="12"/>
      <c r="C286" s="114"/>
      <c r="D286" s="12"/>
      <c r="E286" s="12"/>
      <c r="F286" s="12"/>
      <c r="G286" s="12"/>
      <c r="H286" s="12"/>
      <c r="I286" s="12">
        <f>G263</f>
        <v>12</v>
      </c>
      <c r="J286" s="125">
        <f>J285</f>
        <v>9</v>
      </c>
      <c r="K286" s="758">
        <f>I286-J286</f>
        <v>3</v>
      </c>
      <c r="L286" s="123">
        <f>V286</f>
        <v>0</v>
      </c>
      <c r="M286" s="609">
        <f>IF(M290&lt;=0,0,ROUNDUP(M290,0))</f>
        <v>3</v>
      </c>
      <c r="N286" s="161">
        <f>'Rate Tables'!$P$19</f>
        <v>910</v>
      </c>
      <c r="O286" s="136">
        <f>(M286*N286)*F280*M280</f>
        <v>0</v>
      </c>
      <c r="P286" s="12"/>
      <c r="Q286" s="12"/>
      <c r="R286" s="12"/>
      <c r="S286" s="12"/>
      <c r="T286" s="12"/>
      <c r="U286" s="12"/>
      <c r="V286" s="12">
        <f>VLOOKUP((U280*V280),'Lookup Tables'!$E$38:$F$103,2,0)</f>
        <v>0</v>
      </c>
      <c r="W286" s="12">
        <f>K286-(M286*M280)</f>
        <v>3</v>
      </c>
      <c r="X286" s="119">
        <f>AG286</f>
        <v>0</v>
      </c>
      <c r="Y286" s="609">
        <f>IF(Y290&lt;=0,0,ROUNDUP(Y290,0))</f>
        <v>3</v>
      </c>
      <c r="Z286" s="129">
        <f>'Rate Tables'!$P$20</f>
        <v>928.2</v>
      </c>
      <c r="AA286" s="136">
        <f>Y286*Z286*F280*V280</f>
        <v>0</v>
      </c>
      <c r="AB286" s="12"/>
      <c r="AC286" s="12"/>
      <c r="AD286" s="12"/>
      <c r="AE286" s="12"/>
      <c r="AF286" s="12"/>
      <c r="AG286" s="12">
        <f>VLOOKUP(AH280,'Lookup Tables'!$E$38:$F$103,2,0)</f>
        <v>0</v>
      </c>
      <c r="AH286" s="125">
        <f>W286-(Y286*V280)</f>
        <v>3</v>
      </c>
      <c r="AI286" s="119">
        <f>AR286</f>
        <v>0</v>
      </c>
      <c r="AJ286" s="609">
        <f>IF(AJ290&lt;=0,0,ROUNDUP(AJ290,0))</f>
        <v>3</v>
      </c>
      <c r="AK286" s="129">
        <f>'Rate Tables'!$P$21</f>
        <v>946.76</v>
      </c>
      <c r="AL286" s="737">
        <f>AJ286*AK286*F280*AI280</f>
        <v>0</v>
      </c>
      <c r="AM286" s="11"/>
      <c r="AN286" s="19"/>
      <c r="AO286" s="19"/>
      <c r="AP286" s="19"/>
      <c r="AQ286" s="19"/>
      <c r="AR286" s="12">
        <f>VLOOKUP((AS280*AT280),'Lookup Tables'!$E$38:$F$103,2,0)</f>
        <v>0</v>
      </c>
      <c r="AS286" s="123">
        <f>AH286-(AJ286*AI280)</f>
        <v>3</v>
      </c>
      <c r="AT286" s="119">
        <f>BC286</f>
        <v>0</v>
      </c>
      <c r="AU286" s="609">
        <f>IF(AU290&lt;=0,0,ROUNDUP(AU290,0))</f>
        <v>3</v>
      </c>
      <c r="AV286" s="129">
        <f>'Rate Tables'!$P$22</f>
        <v>965.7</v>
      </c>
      <c r="AW286" s="136">
        <f>AU286*AV286*F280*AT280</f>
        <v>0</v>
      </c>
      <c r="AX286" s="125"/>
      <c r="AY286" s="125"/>
      <c r="AZ286" s="125"/>
      <c r="BA286" s="125"/>
      <c r="BB286" s="125"/>
      <c r="BC286" s="12">
        <f>VLOOKUP((BD280*BE280),'Lookup Tables'!$E$38:$F$103,2,0)</f>
        <v>0</v>
      </c>
      <c r="BD286" s="123">
        <f>AS286-(AU286*AT280)</f>
        <v>3</v>
      </c>
      <c r="BE286" s="119">
        <v>0</v>
      </c>
      <c r="BF286" s="609">
        <f>IF(BF290&lt;=0,0,ROUNDUP(BF290,0))</f>
        <v>3</v>
      </c>
      <c r="BG286" s="129">
        <f>'Rate Tables'!$P$23</f>
        <v>985.01</v>
      </c>
      <c r="BH286" s="136">
        <f>BF286*BG286*F280*BE280</f>
        <v>0</v>
      </c>
      <c r="BI286" s="19"/>
      <c r="BJ286" s="12"/>
      <c r="BK286" s="307"/>
      <c r="BL286" s="349"/>
      <c r="BM286" s="12"/>
      <c r="BN286" s="285"/>
      <c r="BO286" s="15"/>
    </row>
    <row r="287" spans="1:67" x14ac:dyDescent="0.25">
      <c r="A287" s="145"/>
      <c r="B287" s="12"/>
      <c r="C287" s="114"/>
      <c r="D287" s="12"/>
      <c r="E287" s="12"/>
      <c r="F287" s="12"/>
      <c r="G287" s="12"/>
      <c r="H287" s="12"/>
      <c r="I287" s="12">
        <f>G265</f>
        <v>12</v>
      </c>
      <c r="J287" s="125">
        <f>J286</f>
        <v>9</v>
      </c>
      <c r="K287" s="758">
        <f>I287-J287</f>
        <v>3</v>
      </c>
      <c r="L287" s="123">
        <f>V287</f>
        <v>0</v>
      </c>
      <c r="M287" s="609">
        <f>IF(M291&lt;=0,0,ROUNDUP(M291,0))</f>
        <v>3</v>
      </c>
      <c r="N287" s="161">
        <f>'Rate Tables'!$P$20</f>
        <v>928.2</v>
      </c>
      <c r="O287" s="136">
        <f>(M287*N287)*F282*M282</f>
        <v>0</v>
      </c>
      <c r="P287" s="12"/>
      <c r="Q287" s="12"/>
      <c r="R287" s="12"/>
      <c r="S287" s="12"/>
      <c r="T287" s="12"/>
      <c r="U287" s="12"/>
      <c r="V287" s="12">
        <f>VLOOKUP((U282*V282),'Lookup Tables'!$E$38:$F$103,2,0)</f>
        <v>0</v>
      </c>
      <c r="W287" s="12">
        <f>K287-(M287*M282)</f>
        <v>3</v>
      </c>
      <c r="X287" s="119">
        <f>AG287</f>
        <v>0</v>
      </c>
      <c r="Y287" s="609">
        <f>IF(Y291&lt;=0,0,ROUNDUP(Y291,0))</f>
        <v>3</v>
      </c>
      <c r="Z287" s="129">
        <f>'Rate Tables'!$P$21</f>
        <v>946.76</v>
      </c>
      <c r="AA287" s="737">
        <f>Y287*Z287*F282*V282</f>
        <v>0</v>
      </c>
      <c r="AB287" s="12"/>
      <c r="AC287" s="12"/>
      <c r="AD287" s="12"/>
      <c r="AE287" s="12"/>
      <c r="AF287" s="12"/>
      <c r="AG287" s="12">
        <f>VLOOKUP(AH282,'Lookup Tables'!$E$38:$F$103,2,0)</f>
        <v>0</v>
      </c>
      <c r="AH287" s="123">
        <f>W287-(Y287*V282)</f>
        <v>3</v>
      </c>
      <c r="AI287" s="119">
        <f>AR287</f>
        <v>0</v>
      </c>
      <c r="AJ287" s="609">
        <f>IF(AJ291&lt;=0,0,ROUNDUP(AJ291,0))</f>
        <v>3</v>
      </c>
      <c r="AK287" s="129">
        <f>'Rate Tables'!$P$22</f>
        <v>965.7</v>
      </c>
      <c r="AL287" s="737">
        <f>AJ287*AK287*F282*AI282</f>
        <v>0</v>
      </c>
      <c r="AM287" s="11"/>
      <c r="AN287" s="19"/>
      <c r="AO287" s="19"/>
      <c r="AP287" s="19"/>
      <c r="AQ287" s="19"/>
      <c r="AR287" s="12">
        <f>VLOOKUP((AS282*AT282),'Lookup Tables'!$E$38:$F$103,2,0)</f>
        <v>0</v>
      </c>
      <c r="AS287" s="123">
        <f>AH287-(AJ287*AI282)</f>
        <v>3</v>
      </c>
      <c r="AT287" s="119">
        <f>BC287</f>
        <v>0</v>
      </c>
      <c r="AU287" s="609">
        <f>IF(AU291&lt;=0,0,ROUNDUP(AU291,0))</f>
        <v>3</v>
      </c>
      <c r="AV287" s="129">
        <f>'Rate Tables'!$P$23</f>
        <v>985.01</v>
      </c>
      <c r="AW287" s="136">
        <f>AU287*AV287*F282*AT282</f>
        <v>0</v>
      </c>
      <c r="AX287" s="125"/>
      <c r="AY287" s="125"/>
      <c r="AZ287" s="125"/>
      <c r="BA287" s="125"/>
      <c r="BB287" s="125"/>
      <c r="BC287" s="12">
        <f>VLOOKUP((BD282*BE282),'Lookup Tables'!$E$38:$F$103,2,0)</f>
        <v>0</v>
      </c>
      <c r="BD287" s="123">
        <f>AS287-(AU287*AT282)</f>
        <v>3</v>
      </c>
      <c r="BE287" s="119">
        <v>0</v>
      </c>
      <c r="BF287" s="609">
        <f>IF(BF291&lt;=0,0,ROUNDUP(BF291,0))</f>
        <v>3</v>
      </c>
      <c r="BG287" s="129">
        <f>'Rate Tables'!$P$24</f>
        <v>1004.71</v>
      </c>
      <c r="BH287" s="136">
        <f>BF287*BG287*F282*BE282</f>
        <v>0</v>
      </c>
      <c r="BI287" s="19"/>
      <c r="BJ287" s="12"/>
      <c r="BK287" s="307"/>
      <c r="BL287" s="349"/>
      <c r="BM287" s="12"/>
      <c r="BN287" s="285"/>
      <c r="BO287" s="15"/>
    </row>
    <row r="288" spans="1:67" x14ac:dyDescent="0.25">
      <c r="A288" s="145"/>
      <c r="B288" s="12"/>
      <c r="C288" s="114"/>
      <c r="D288" s="12"/>
      <c r="E288" s="12"/>
      <c r="F288" s="12"/>
      <c r="G288" s="12"/>
      <c r="H288" s="12"/>
      <c r="I288" s="12"/>
      <c r="J288" s="125"/>
      <c r="K288" s="125"/>
      <c r="L288" s="123"/>
      <c r="M288" s="648">
        <f>K284-L284</f>
        <v>3</v>
      </c>
      <c r="N288" s="129"/>
      <c r="O288" s="125"/>
      <c r="P288" s="12"/>
      <c r="Q288" s="12"/>
      <c r="R288" s="12"/>
      <c r="S288" s="12"/>
      <c r="T288" s="12"/>
      <c r="U288" s="12"/>
      <c r="V288" s="12"/>
      <c r="W288" s="12"/>
      <c r="X288" s="119"/>
      <c r="Y288" s="651">
        <f>W284-X284</f>
        <v>3</v>
      </c>
      <c r="Z288" s="129"/>
      <c r="AA288" s="125"/>
      <c r="AB288" s="12"/>
      <c r="AC288" s="12"/>
      <c r="AD288" s="12"/>
      <c r="AE288" s="12"/>
      <c r="AF288" s="12"/>
      <c r="AG288" s="12"/>
      <c r="AH288" s="125"/>
      <c r="AI288" s="119"/>
      <c r="AJ288" s="651">
        <f>AH284-AI284</f>
        <v>3</v>
      </c>
      <c r="AK288" s="129"/>
      <c r="AL288" s="834"/>
      <c r="AM288" s="11"/>
      <c r="AN288" s="19"/>
      <c r="AO288" s="19"/>
      <c r="AP288" s="19"/>
      <c r="AQ288" s="19"/>
      <c r="AR288" s="12"/>
      <c r="AS288" s="123"/>
      <c r="AT288" s="119"/>
      <c r="AU288" s="651">
        <f>AS284-AT284</f>
        <v>3</v>
      </c>
      <c r="AV288" s="129"/>
      <c r="AW288" s="125"/>
      <c r="AX288" s="125"/>
      <c r="AY288" s="125"/>
      <c r="AZ288" s="125"/>
      <c r="BA288" s="125"/>
      <c r="BB288" s="125"/>
      <c r="BC288" s="12"/>
      <c r="BD288" s="123"/>
      <c r="BE288" s="119"/>
      <c r="BF288" s="651">
        <f>BD284-BE284</f>
        <v>3</v>
      </c>
      <c r="BG288" s="129"/>
      <c r="BH288" s="125"/>
      <c r="BI288" s="19"/>
      <c r="BJ288" s="12"/>
      <c r="BK288" s="307"/>
      <c r="BL288" s="349"/>
      <c r="BM288" s="12"/>
      <c r="BN288" s="285"/>
      <c r="BO288" s="15"/>
    </row>
    <row r="289" spans="1:67" x14ac:dyDescent="0.25">
      <c r="A289" s="145"/>
      <c r="B289" s="12"/>
      <c r="C289" s="114"/>
      <c r="D289" s="12"/>
      <c r="E289" s="12"/>
      <c r="F289" s="12"/>
      <c r="G289" s="12"/>
      <c r="H289" s="12"/>
      <c r="I289" s="12"/>
      <c r="J289" s="12"/>
      <c r="K289" s="12"/>
      <c r="L289" s="123"/>
      <c r="M289" s="648">
        <f t="shared" ref="M289:M291" si="4">K285-L285</f>
        <v>3</v>
      </c>
      <c r="N289" s="129"/>
      <c r="O289" s="125"/>
      <c r="P289" s="12"/>
      <c r="Q289" s="12"/>
      <c r="R289" s="12"/>
      <c r="S289" s="12"/>
      <c r="T289" s="12"/>
      <c r="U289" s="12"/>
      <c r="V289" s="12"/>
      <c r="W289" s="12"/>
      <c r="X289" s="119"/>
      <c r="Y289" s="651">
        <f>W285-X285</f>
        <v>3</v>
      </c>
      <c r="Z289" s="129"/>
      <c r="AA289" s="125"/>
      <c r="AB289" s="12"/>
      <c r="AC289" s="12"/>
      <c r="AD289" s="12"/>
      <c r="AE289" s="12"/>
      <c r="AF289" s="12"/>
      <c r="AG289" s="12"/>
      <c r="AH289" s="125"/>
      <c r="AI289" s="119"/>
      <c r="AJ289" s="651">
        <f>AH285-AI285</f>
        <v>3</v>
      </c>
      <c r="AK289" s="129"/>
      <c r="AL289" s="125"/>
      <c r="AM289" s="11"/>
      <c r="AN289" s="19"/>
      <c r="AO289" s="19"/>
      <c r="AP289" s="19"/>
      <c r="AQ289" s="19"/>
      <c r="AR289" s="12"/>
      <c r="AS289" s="125"/>
      <c r="AT289" s="119"/>
      <c r="AU289" s="651">
        <f>AS285-AT285</f>
        <v>3</v>
      </c>
      <c r="AV289" s="129"/>
      <c r="AW289" s="125"/>
      <c r="AX289" s="125"/>
      <c r="AY289" s="125"/>
      <c r="AZ289" s="125"/>
      <c r="BA289" s="125"/>
      <c r="BB289" s="125"/>
      <c r="BC289" s="12"/>
      <c r="BD289" s="125"/>
      <c r="BE289" s="119"/>
      <c r="BF289" s="651">
        <f>BD285-BE285</f>
        <v>3</v>
      </c>
      <c r="BG289" s="129"/>
      <c r="BH289" s="125"/>
      <c r="BI289" s="19"/>
      <c r="BJ289" s="12"/>
      <c r="BK289" s="307"/>
      <c r="BL289" s="349"/>
      <c r="BM289" s="12"/>
      <c r="BN289" s="285"/>
      <c r="BO289" s="15"/>
    </row>
    <row r="290" spans="1:67" ht="15.75" thickBot="1" x14ac:dyDescent="0.3">
      <c r="A290" s="145"/>
      <c r="B290" s="12"/>
      <c r="C290" s="114"/>
      <c r="D290" s="12"/>
      <c r="E290" s="12"/>
      <c r="F290" s="12"/>
      <c r="G290" s="12" t="s">
        <v>584</v>
      </c>
      <c r="H290" s="12"/>
      <c r="I290" s="12"/>
      <c r="J290" s="12"/>
      <c r="K290" s="12"/>
      <c r="L290" s="123"/>
      <c r="M290" s="648">
        <f t="shared" si="4"/>
        <v>3</v>
      </c>
      <c r="N290" s="129"/>
      <c r="O290" s="125"/>
      <c r="P290" s="12"/>
      <c r="Q290" s="12"/>
      <c r="R290" s="12"/>
      <c r="S290" s="12"/>
      <c r="T290" s="12"/>
      <c r="U290" s="12"/>
      <c r="V290" s="12"/>
      <c r="W290" s="12"/>
      <c r="X290" s="119"/>
      <c r="Y290" s="651">
        <f>W286-X286</f>
        <v>3</v>
      </c>
      <c r="Z290" s="129"/>
      <c r="AA290" s="125"/>
      <c r="AB290" s="12"/>
      <c r="AC290" s="12"/>
      <c r="AD290" s="12"/>
      <c r="AE290" s="12"/>
      <c r="AF290" s="12"/>
      <c r="AG290" s="12"/>
      <c r="AH290" s="125"/>
      <c r="AI290" s="119"/>
      <c r="AJ290" s="651">
        <f>AH286-AI286</f>
        <v>3</v>
      </c>
      <c r="AK290" s="129"/>
      <c r="AL290" s="125"/>
      <c r="AM290" s="11"/>
      <c r="AN290" s="19"/>
      <c r="AO290" s="19"/>
      <c r="AP290" s="19"/>
      <c r="AQ290" s="19"/>
      <c r="AR290" s="12"/>
      <c r="AS290" s="125"/>
      <c r="AT290" s="119"/>
      <c r="AU290" s="651">
        <f>AS286-AT286</f>
        <v>3</v>
      </c>
      <c r="AV290" s="129"/>
      <c r="AW290" s="125"/>
      <c r="AX290" s="125"/>
      <c r="AY290" s="125"/>
      <c r="AZ290" s="125"/>
      <c r="BA290" s="125"/>
      <c r="BB290" s="125"/>
      <c r="BC290" s="12"/>
      <c r="BD290" s="125"/>
      <c r="BE290" s="119"/>
      <c r="BF290" s="651">
        <f>BD286-BE286</f>
        <v>3</v>
      </c>
      <c r="BG290" s="129"/>
      <c r="BH290" s="125"/>
      <c r="BI290" s="829"/>
      <c r="BJ290" s="149"/>
      <c r="BK290" s="830"/>
      <c r="BL290" s="831"/>
      <c r="BM290" s="149"/>
      <c r="BN290" s="832"/>
      <c r="BO290" s="15"/>
    </row>
    <row r="291" spans="1:67" x14ac:dyDescent="0.25">
      <c r="A291" s="145"/>
      <c r="B291" s="162"/>
      <c r="C291" s="115">
        <f>(B257*12)*2</f>
        <v>0</v>
      </c>
      <c r="D291" s="115"/>
      <c r="E291" s="126"/>
      <c r="F291" s="126"/>
      <c r="G291" s="12"/>
      <c r="H291" s="12"/>
      <c r="I291" s="12"/>
      <c r="J291" s="12"/>
      <c r="K291" s="12"/>
      <c r="L291" s="12"/>
      <c r="M291" s="649">
        <f t="shared" si="4"/>
        <v>3</v>
      </c>
      <c r="N291" s="12"/>
      <c r="O291" s="12"/>
      <c r="P291" s="12"/>
      <c r="Q291" s="12"/>
      <c r="R291" s="12"/>
      <c r="S291" s="12"/>
      <c r="T291" s="12"/>
      <c r="U291" s="12"/>
      <c r="V291" s="12"/>
      <c r="W291" s="12"/>
      <c r="X291" s="12"/>
      <c r="Y291" s="652">
        <f>W287-X287</f>
        <v>3</v>
      </c>
      <c r="Z291" s="12"/>
      <c r="AA291" s="12"/>
      <c r="AB291" s="12"/>
      <c r="AC291" s="12"/>
      <c r="AD291" s="12"/>
      <c r="AE291" s="12"/>
      <c r="AF291" s="12"/>
      <c r="AG291" s="12"/>
      <c r="AH291" s="12"/>
      <c r="AI291" s="12"/>
      <c r="AJ291" s="652">
        <f>AH287-AI287</f>
        <v>3</v>
      </c>
      <c r="AK291" s="12"/>
      <c r="AL291" s="12"/>
      <c r="AM291" s="11"/>
      <c r="AN291" s="12"/>
      <c r="AO291" s="12"/>
      <c r="AP291" s="12"/>
      <c r="AQ291" s="12"/>
      <c r="AR291" s="12"/>
      <c r="AS291" s="12"/>
      <c r="AT291" s="12"/>
      <c r="AU291" s="652">
        <f>AS287-AT287</f>
        <v>3</v>
      </c>
      <c r="AV291" s="12"/>
      <c r="AW291" s="12"/>
      <c r="AX291" s="12"/>
      <c r="AY291" s="12"/>
      <c r="AZ291" s="12"/>
      <c r="BA291" s="12"/>
      <c r="BB291" s="12"/>
      <c r="BC291" s="12"/>
      <c r="BD291" s="12"/>
      <c r="BE291" s="12"/>
      <c r="BF291" s="652">
        <f>BD287-BE287</f>
        <v>3</v>
      </c>
      <c r="BG291" s="12"/>
      <c r="BH291" s="12"/>
      <c r="BI291" s="12"/>
      <c r="BJ291" s="12"/>
      <c r="BK291" s="306" t="s">
        <v>413</v>
      </c>
      <c r="BL291" s="828">
        <f>Personnel!W74</f>
        <v>0</v>
      </c>
      <c r="BM291" s="276" t="s">
        <v>416</v>
      </c>
      <c r="BN291" s="285">
        <f>(M293+M295+M297+M299+W293+W295+W297+W299+AI293+AI295+AI297+AI299+AT293+AT295+AT297+AT299+BE293+BE295+BE297+BE299)*BI293</f>
        <v>0</v>
      </c>
      <c r="BO291" s="15"/>
    </row>
    <row r="292" spans="1:67" x14ac:dyDescent="0.25">
      <c r="A292" s="145"/>
      <c r="B292" s="12"/>
      <c r="C292" s="117" t="s">
        <v>30</v>
      </c>
      <c r="D292" s="117"/>
      <c r="E292" s="13"/>
      <c r="F292" s="13" t="s">
        <v>42</v>
      </c>
      <c r="G292" s="13" t="s">
        <v>41</v>
      </c>
      <c r="H292" s="65" t="s">
        <v>77</v>
      </c>
      <c r="I292" s="150" t="s">
        <v>50</v>
      </c>
      <c r="J292" s="13" t="s">
        <v>52</v>
      </c>
      <c r="K292" s="13" t="s">
        <v>35</v>
      </c>
      <c r="L292" s="13" t="s">
        <v>82</v>
      </c>
      <c r="M292" s="13" t="s">
        <v>31</v>
      </c>
      <c r="N292" s="13" t="s">
        <v>69</v>
      </c>
      <c r="O292" s="12"/>
      <c r="P292" s="13" t="s">
        <v>72</v>
      </c>
      <c r="Q292" s="65" t="s">
        <v>80</v>
      </c>
      <c r="R292" s="62" t="s">
        <v>81</v>
      </c>
      <c r="S292" s="65" t="s">
        <v>77</v>
      </c>
      <c r="T292" s="674" t="s">
        <v>107</v>
      </c>
      <c r="U292" s="13" t="s">
        <v>53</v>
      </c>
      <c r="V292" s="13" t="s">
        <v>82</v>
      </c>
      <c r="W292" s="13" t="s">
        <v>32</v>
      </c>
      <c r="X292" s="13" t="s">
        <v>69</v>
      </c>
      <c r="Y292" s="12"/>
      <c r="Z292" s="12"/>
      <c r="AA292" s="12"/>
      <c r="AB292" s="13" t="s">
        <v>72</v>
      </c>
      <c r="AC292" s="13" t="s">
        <v>80</v>
      </c>
      <c r="AD292" s="62" t="s">
        <v>81</v>
      </c>
      <c r="AE292" s="65" t="s">
        <v>77</v>
      </c>
      <c r="AF292" s="151" t="s">
        <v>107</v>
      </c>
      <c r="AG292" s="13" t="s">
        <v>78</v>
      </c>
      <c r="AH292" s="13" t="s">
        <v>82</v>
      </c>
      <c r="AI292" s="13" t="s">
        <v>33</v>
      </c>
      <c r="AJ292" s="13" t="s">
        <v>69</v>
      </c>
      <c r="AK292" s="12"/>
      <c r="AL292" s="12"/>
      <c r="AM292" s="13" t="s">
        <v>72</v>
      </c>
      <c r="AN292" s="13" t="s">
        <v>80</v>
      </c>
      <c r="AO292" s="62" t="s">
        <v>81</v>
      </c>
      <c r="AP292" s="65" t="s">
        <v>77</v>
      </c>
      <c r="AQ292" s="151" t="s">
        <v>107</v>
      </c>
      <c r="AR292" s="13" t="s">
        <v>78</v>
      </c>
      <c r="AS292" s="13" t="s">
        <v>82</v>
      </c>
      <c r="AT292" s="13" t="s">
        <v>33</v>
      </c>
      <c r="AU292" s="13" t="s">
        <v>69</v>
      </c>
      <c r="AV292" s="13"/>
      <c r="AW292" s="13"/>
      <c r="AX292" s="13" t="s">
        <v>72</v>
      </c>
      <c r="AY292" s="13" t="s">
        <v>80</v>
      </c>
      <c r="AZ292" s="62" t="s">
        <v>81</v>
      </c>
      <c r="BA292" s="65" t="s">
        <v>77</v>
      </c>
      <c r="BB292" s="151" t="s">
        <v>107</v>
      </c>
      <c r="BC292" s="13" t="s">
        <v>78</v>
      </c>
      <c r="BD292" s="13" t="s">
        <v>82</v>
      </c>
      <c r="BE292" s="13" t="s">
        <v>33</v>
      </c>
      <c r="BF292" s="13" t="s">
        <v>69</v>
      </c>
      <c r="BG292" s="13"/>
      <c r="BH292" s="13"/>
      <c r="BI292" s="13" t="s">
        <v>159</v>
      </c>
      <c r="BJ292" s="12"/>
      <c r="BK292" s="227"/>
      <c r="BL292" s="12"/>
      <c r="BM292" s="12"/>
      <c r="BN292" s="285"/>
      <c r="BO292" s="15"/>
    </row>
    <row r="293" spans="1:67" x14ac:dyDescent="0.25">
      <c r="A293" s="145"/>
      <c r="B293" s="12"/>
      <c r="C293" s="115"/>
      <c r="D293" s="115"/>
      <c r="E293" s="152">
        <f>BL291</f>
        <v>0</v>
      </c>
      <c r="F293" s="19">
        <f>IF($D$4=2022,1,0)</f>
        <v>0</v>
      </c>
      <c r="G293" s="178">
        <f>IF($B303="Yes",$C$5,$I302)</f>
        <v>12</v>
      </c>
      <c r="H293" s="36">
        <f>VLOOKUP(H301,'Lookup Tables'!$A$22:$B$33,2,FALSE)</f>
        <v>3</v>
      </c>
      <c r="I293" s="192">
        <f>VLOOKUP($E$4,'Lookup Tables'!$AB$46:$AN$58,MATCH($H293,'Lookup Tables'!$AB$46:$AN$46),FALSE)</f>
        <v>12</v>
      </c>
      <c r="J293" s="19">
        <f>12-I293</f>
        <v>0</v>
      </c>
      <c r="K293" s="19">
        <f>IF(G293&lt;J293,G293,J293)</f>
        <v>0</v>
      </c>
      <c r="L293" s="195">
        <f>IF(12-I293&gt;=1,1,0)</f>
        <v>0</v>
      </c>
      <c r="M293" s="20">
        <f>((('Rate Tables'!$B99*$E293)*PersonCalcYr3!$K293)*L293)*$F293</f>
        <v>0</v>
      </c>
      <c r="N293" s="8">
        <f>G293-(J293*L293)</f>
        <v>12</v>
      </c>
      <c r="O293" s="12"/>
      <c r="P293" s="8">
        <f>IF(N293&lt;0,N293*0,1)*N293</f>
        <v>12</v>
      </c>
      <c r="Q293" s="120">
        <f>VLOOKUP($H301,'Lookup Tables'!$A$22:$B$33,2,FALSE)+(K293*L293)</f>
        <v>3</v>
      </c>
      <c r="R293" s="121" t="str">
        <f>VLOOKUP(Q293,'Lookup Tables'!$A$38:$B$151,2,FALSE)</f>
        <v>Sept</v>
      </c>
      <c r="S293" s="36">
        <f>VLOOKUP(R293,'Lookup Tables'!$A$22:$B$33,2,FALSE)</f>
        <v>3</v>
      </c>
      <c r="T293" s="672">
        <f>VLOOKUP($E$4,'Lookup Tables'!$AQ$46:$BC$58,MATCH(PersonCalcYr3!$S293,'Lookup Tables'!$AQ$46:$BC$46),FALSE)</f>
        <v>10</v>
      </c>
      <c r="U293" s="19">
        <f>IF(P293&lt;T293,P293,T293)</f>
        <v>10</v>
      </c>
      <c r="V293" s="119">
        <f>IF((U293)&lt;=0,0,1)</f>
        <v>1</v>
      </c>
      <c r="W293" s="20">
        <f>(('Rate Tables'!$C99*$E293)*PersonCalcYr3!$U293)*$V293*$F293</f>
        <v>0</v>
      </c>
      <c r="X293" s="8">
        <f>P293-(U293*V293)</f>
        <v>2</v>
      </c>
      <c r="Y293" s="12"/>
      <c r="Z293" s="12"/>
      <c r="AA293" s="12"/>
      <c r="AB293" s="19">
        <f>X293</f>
        <v>2</v>
      </c>
      <c r="AC293" s="123">
        <f>AC259</f>
        <v>13</v>
      </c>
      <c r="AD293" s="121" t="str">
        <f>VLOOKUP(AC293,'Lookup Tables'!$A$38:$B$151,2,FALSE)</f>
        <v>July</v>
      </c>
      <c r="AE293" s="36">
        <f>VLOOKUP(AD293,'Lookup Tables'!$A$22:$B$33,2,FALSE)</f>
        <v>1</v>
      </c>
      <c r="AF293" s="87">
        <f>VLOOKUP($AE293,'Lookup Tables'!$AC$3:$AW$16,MATCH(PersonCalcYr3!$AB293,'Lookup Tables'!$AC$3:$AW$3),FALSE)</f>
        <v>2</v>
      </c>
      <c r="AG293" s="19">
        <f>IF(AB293&lt;AF293,AB293,AF293)</f>
        <v>2</v>
      </c>
      <c r="AH293" s="119">
        <f>IF((AG293)&lt;=0,0,1)</f>
        <v>1</v>
      </c>
      <c r="AI293" s="20">
        <f>(('Rate Tables'!$D99*$E293)*PersonCalcYr3!AG293)*AH293*$F293</f>
        <v>0</v>
      </c>
      <c r="AJ293" s="8">
        <f>AB293-(AG293*AH293)</f>
        <v>0</v>
      </c>
      <c r="AK293" s="12"/>
      <c r="AL293" s="12"/>
      <c r="AM293" s="19">
        <f>AJ293</f>
        <v>0</v>
      </c>
      <c r="AN293" s="123">
        <f>AN259</f>
        <v>3</v>
      </c>
      <c r="AO293" s="121" t="str">
        <f>VLOOKUP(AN293,'Lookup Tables'!$A$38:$B$151,2,FALSE)</f>
        <v>Sept</v>
      </c>
      <c r="AP293" s="36">
        <f>VLOOKUP(AO293,'Lookup Tables'!$A$22:$B$33,2,FALSE)</f>
        <v>3</v>
      </c>
      <c r="AQ293" s="87">
        <f>VLOOKUP($AP293,'Lookup Tables'!$AC$3:$AW$16,MATCH(PersonCalcYr3!$AM293,'Lookup Tables'!$AC$3:$AW$3),FALSE)</f>
        <v>0</v>
      </c>
      <c r="AR293" s="19">
        <f>IF(AM293&lt;AQ293,AM293,AQ293)</f>
        <v>0</v>
      </c>
      <c r="AS293" s="119">
        <f>IF((AR293)&lt;=0,0,1)</f>
        <v>0</v>
      </c>
      <c r="AT293" s="20">
        <f>(('Rate Tables'!$E99*$E293)*PersonCalcYr3!AR293)*AS293*$F293</f>
        <v>0</v>
      </c>
      <c r="AU293" s="8">
        <f>AM293-(AR293*AS293)</f>
        <v>0</v>
      </c>
      <c r="AV293" s="19"/>
      <c r="AW293" s="19"/>
      <c r="AX293" s="19">
        <f>AU293</f>
        <v>0</v>
      </c>
      <c r="AY293" s="123">
        <f>AY259</f>
        <v>3</v>
      </c>
      <c r="AZ293" s="121" t="str">
        <f>VLOOKUP(AY293,'Lookup Tables'!$A$38:$B$151,2,FALSE)</f>
        <v>Sept</v>
      </c>
      <c r="BA293" s="36">
        <f>VLOOKUP(AZ293,'Lookup Tables'!$A$22:$B$33,2,FALSE)</f>
        <v>3</v>
      </c>
      <c r="BB293" s="87">
        <f>VLOOKUP($BA293,'Lookup Tables'!$AC$3:$AW$16,MATCH(PersonCalcYr3!$AX293,'Lookup Tables'!$AC$3:$AW$3),FALSE)</f>
        <v>0</v>
      </c>
      <c r="BC293" s="19">
        <f>IF(AX293&lt;BB293,AX293,BB293)</f>
        <v>0</v>
      </c>
      <c r="BD293" s="119">
        <f>IF((BC293)&lt;=0,0,1)</f>
        <v>0</v>
      </c>
      <c r="BE293" s="20">
        <f>(('Rate Tables'!$F99*$E293)*PersonCalcYr3!BC293)*BD293*$F293</f>
        <v>0</v>
      </c>
      <c r="BF293" s="8">
        <f>AX293-(BC293*BD293)</f>
        <v>0</v>
      </c>
      <c r="BG293" s="19"/>
      <c r="BH293" s="19"/>
      <c r="BI293" s="19">
        <f>VLOOKUP(B255,'Lookup Tables'!$AK$22:$AM$24,3,0)</f>
        <v>1</v>
      </c>
      <c r="BJ293" s="12"/>
      <c r="BK293" s="227"/>
      <c r="BL293" s="12"/>
      <c r="BM293" s="276" t="s">
        <v>188</v>
      </c>
      <c r="BN293" s="285">
        <f>BN291*'Rate Tables'!P$8</f>
        <v>0</v>
      </c>
      <c r="BO293" s="15"/>
    </row>
    <row r="294" spans="1:67" x14ac:dyDescent="0.25">
      <c r="A294" s="145"/>
      <c r="B294" s="12"/>
      <c r="C294" s="117" t="s">
        <v>597</v>
      </c>
      <c r="D294" s="117"/>
      <c r="E294" s="13"/>
      <c r="F294" s="13" t="s">
        <v>42</v>
      </c>
      <c r="G294" s="13" t="s">
        <v>41</v>
      </c>
      <c r="H294" s="65" t="s">
        <v>77</v>
      </c>
      <c r="I294" s="150" t="s">
        <v>51</v>
      </c>
      <c r="J294" s="13" t="s">
        <v>110</v>
      </c>
      <c r="K294" s="13" t="s">
        <v>53</v>
      </c>
      <c r="L294" s="13" t="s">
        <v>82</v>
      </c>
      <c r="M294" s="13" t="s">
        <v>32</v>
      </c>
      <c r="N294" s="13" t="s">
        <v>69</v>
      </c>
      <c r="O294" s="12"/>
      <c r="P294" s="13" t="s">
        <v>72</v>
      </c>
      <c r="Q294" s="65" t="s">
        <v>80</v>
      </c>
      <c r="R294" s="62" t="s">
        <v>81</v>
      </c>
      <c r="S294" s="65" t="s">
        <v>77</v>
      </c>
      <c r="T294" s="674" t="s">
        <v>107</v>
      </c>
      <c r="U294" s="13" t="s">
        <v>78</v>
      </c>
      <c r="V294" s="13" t="s">
        <v>82</v>
      </c>
      <c r="W294" s="13" t="s">
        <v>33</v>
      </c>
      <c r="X294" s="13" t="s">
        <v>69</v>
      </c>
      <c r="Y294" s="12"/>
      <c r="Z294" s="12"/>
      <c r="AA294" s="12"/>
      <c r="AB294" s="13" t="s">
        <v>72</v>
      </c>
      <c r="AC294" s="13" t="s">
        <v>80</v>
      </c>
      <c r="AD294" s="62" t="s">
        <v>81</v>
      </c>
      <c r="AE294" s="65" t="s">
        <v>77</v>
      </c>
      <c r="AF294" s="151" t="s">
        <v>107</v>
      </c>
      <c r="AG294" s="13" t="s">
        <v>79</v>
      </c>
      <c r="AH294" s="13" t="s">
        <v>82</v>
      </c>
      <c r="AI294" s="13" t="s">
        <v>34</v>
      </c>
      <c r="AJ294" s="13" t="s">
        <v>69</v>
      </c>
      <c r="AK294" s="12"/>
      <c r="AL294" s="12"/>
      <c r="AM294" s="13" t="s">
        <v>72</v>
      </c>
      <c r="AN294" s="13" t="s">
        <v>80</v>
      </c>
      <c r="AO294" s="62" t="s">
        <v>81</v>
      </c>
      <c r="AP294" s="65" t="s">
        <v>77</v>
      </c>
      <c r="AQ294" s="151" t="s">
        <v>107</v>
      </c>
      <c r="AR294" s="13" t="s">
        <v>79</v>
      </c>
      <c r="AS294" s="13" t="s">
        <v>82</v>
      </c>
      <c r="AT294" s="13" t="s">
        <v>34</v>
      </c>
      <c r="AU294" s="13" t="s">
        <v>69</v>
      </c>
      <c r="AV294" s="13"/>
      <c r="AW294" s="13"/>
      <c r="AX294" s="13" t="s">
        <v>72</v>
      </c>
      <c r="AY294" s="13" t="s">
        <v>80</v>
      </c>
      <c r="AZ294" s="62" t="s">
        <v>81</v>
      </c>
      <c r="BA294" s="65" t="s">
        <v>77</v>
      </c>
      <c r="BB294" s="151" t="s">
        <v>107</v>
      </c>
      <c r="BC294" s="13" t="s">
        <v>79</v>
      </c>
      <c r="BD294" s="13" t="s">
        <v>82</v>
      </c>
      <c r="BE294" s="13" t="s">
        <v>34</v>
      </c>
      <c r="BF294" s="13" t="s">
        <v>69</v>
      </c>
      <c r="BG294" s="13"/>
      <c r="BH294" s="13"/>
      <c r="BI294" s="13"/>
      <c r="BJ294" s="12"/>
      <c r="BK294" s="311"/>
      <c r="BL294" s="12"/>
      <c r="BM294" s="12"/>
      <c r="BN294" s="285"/>
      <c r="BO294" s="15"/>
    </row>
    <row r="295" spans="1:67" x14ac:dyDescent="0.25">
      <c r="A295" s="145"/>
      <c r="B295" s="12"/>
      <c r="C295" s="115"/>
      <c r="D295" s="115"/>
      <c r="E295" s="152">
        <f>BL291</f>
        <v>0</v>
      </c>
      <c r="F295" s="19">
        <f>IF($D$4=2023,1,0)</f>
        <v>0</v>
      </c>
      <c r="G295" s="178">
        <f>IF($B303="Yes",$C$5,$I302)</f>
        <v>12</v>
      </c>
      <c r="H295" s="36">
        <f>VLOOKUP(H301,'Lookup Tables'!$A$22:$B$33,2,FALSE)</f>
        <v>3</v>
      </c>
      <c r="I295" s="192">
        <f>VLOOKUP($E$4,'Lookup Tables'!$AB$46:$AN$58,MATCH($H295,'Lookup Tables'!$AB$46:$AN$46),FALSE)</f>
        <v>12</v>
      </c>
      <c r="J295" s="19">
        <f>12-I295</f>
        <v>0</v>
      </c>
      <c r="K295" s="19">
        <f>IF(G295&lt;J295,G295,J295)</f>
        <v>0</v>
      </c>
      <c r="L295" s="195">
        <f>IF(12-I295&gt;=1,1,0)</f>
        <v>0</v>
      </c>
      <c r="M295" s="20">
        <f>((('Rate Tables'!$C99*$E295)*PersonCalcYr3!$K295)*L295)*$F295</f>
        <v>0</v>
      </c>
      <c r="N295" s="8">
        <f>G295-(J295*L295)</f>
        <v>12</v>
      </c>
      <c r="O295" s="12"/>
      <c r="P295" s="8">
        <f>IF(N295&lt;0,N295*0,1)*N295</f>
        <v>12</v>
      </c>
      <c r="Q295" s="120">
        <f>VLOOKUP($H301,'Lookup Tables'!$A$22:$B$33,2,FALSE)+(K295*L295)</f>
        <v>3</v>
      </c>
      <c r="R295" s="121" t="str">
        <f>VLOOKUP(Q295,'Lookup Tables'!$A$38:$B$151,2,FALSE)</f>
        <v>Sept</v>
      </c>
      <c r="S295" s="36">
        <f>VLOOKUP(R295,'Lookup Tables'!$A$22:$B$33,2,FALSE)</f>
        <v>3</v>
      </c>
      <c r="T295" s="672">
        <f>VLOOKUP($E$4,'Lookup Tables'!$AQ$46:$BC$58,MATCH(PersonCalcYr3!$S295,'Lookup Tables'!$AQ$46:$BC$46),FALSE)</f>
        <v>10</v>
      </c>
      <c r="U295" s="19">
        <f>IF(P295&lt;T295,P295,T295)</f>
        <v>10</v>
      </c>
      <c r="V295" s="119">
        <f>IF((U295)&lt;=0,0,1)</f>
        <v>1</v>
      </c>
      <c r="W295" s="20">
        <f>(('Rate Tables'!$D99*$E295)*PersonCalcYr3!$U295)*$V295*$F295</f>
        <v>0</v>
      </c>
      <c r="X295" s="8">
        <f>P295-(U295*V295)</f>
        <v>2</v>
      </c>
      <c r="Y295" s="12"/>
      <c r="Z295" s="12"/>
      <c r="AA295" s="12"/>
      <c r="AB295" s="19">
        <f>X295</f>
        <v>2</v>
      </c>
      <c r="AC295" s="123">
        <f>AC261</f>
        <v>13</v>
      </c>
      <c r="AD295" s="121" t="str">
        <f>VLOOKUP(AC295,'Lookup Tables'!$A$38:$B$151,2,FALSE)</f>
        <v>July</v>
      </c>
      <c r="AE295" s="36">
        <f>VLOOKUP(AD295,'Lookup Tables'!$A$22:$B$33,2,FALSE)</f>
        <v>1</v>
      </c>
      <c r="AF295" s="87">
        <f>VLOOKUP($AE295,'Lookup Tables'!$AC$3:$AW$16,MATCH(PersonCalcYr3!$AB295,'Lookup Tables'!$AC$3:$AW$3),FALSE)</f>
        <v>2</v>
      </c>
      <c r="AG295" s="19">
        <f>IF(AB295&lt;AF295,AB295,AF295)</f>
        <v>2</v>
      </c>
      <c r="AH295" s="119">
        <f>IF((AG295)&lt;=0,0,1)</f>
        <v>1</v>
      </c>
      <c r="AI295" s="20">
        <f>(('Rate Tables'!$E99*$E295)*PersonCalcYr3!AG295)*AH295*$F295</f>
        <v>0</v>
      </c>
      <c r="AJ295" s="8">
        <f>AB295-(AG295*AH295)</f>
        <v>0</v>
      </c>
      <c r="AK295" s="12"/>
      <c r="AL295" s="12"/>
      <c r="AM295" s="19">
        <f>AJ295</f>
        <v>0</v>
      </c>
      <c r="AN295" s="123">
        <f>AN261</f>
        <v>3</v>
      </c>
      <c r="AO295" s="121" t="str">
        <f>VLOOKUP(AN295,'Lookup Tables'!$A$38:$B$151,2,FALSE)</f>
        <v>Sept</v>
      </c>
      <c r="AP295" s="36">
        <f>VLOOKUP(AO295,'Lookup Tables'!$A$22:$B$33,2,FALSE)</f>
        <v>3</v>
      </c>
      <c r="AQ295" s="87">
        <f>VLOOKUP($AP295,'Lookup Tables'!$AC$3:$AW$16,MATCH(PersonCalcYr3!$AM295,'Lookup Tables'!$AC$3:$AW$3),FALSE)</f>
        <v>0</v>
      </c>
      <c r="AR295" s="19">
        <f>IF(AM295&lt;AQ295,AM295,AQ295)</f>
        <v>0</v>
      </c>
      <c r="AS295" s="119">
        <f>IF((AR295)&lt;=0,0,1)</f>
        <v>0</v>
      </c>
      <c r="AT295" s="20">
        <f>(('Rate Tables'!$F99*$E295)*PersonCalcYr3!AR295)*AS295*$F295</f>
        <v>0</v>
      </c>
      <c r="AU295" s="8">
        <f>AM295-(AR295*AS295)</f>
        <v>0</v>
      </c>
      <c r="AV295" s="20"/>
      <c r="AW295" s="20"/>
      <c r="AX295" s="19">
        <f>AU295</f>
        <v>0</v>
      </c>
      <c r="AY295" s="123">
        <f>AY261</f>
        <v>3</v>
      </c>
      <c r="AZ295" s="121" t="str">
        <f>VLOOKUP(AY295,'Lookup Tables'!$A$38:$B$151,2,FALSE)</f>
        <v>Sept</v>
      </c>
      <c r="BA295" s="36">
        <f>VLOOKUP(AZ295,'Lookup Tables'!$A$22:$B$33,2,FALSE)</f>
        <v>3</v>
      </c>
      <c r="BB295" s="87">
        <f>VLOOKUP($BA295,'Lookup Tables'!$AC$3:$AW$16,MATCH(PersonCalcYr3!$AX295,'Lookup Tables'!$AC$3:$AW$3),FALSE)</f>
        <v>0</v>
      </c>
      <c r="BC295" s="19">
        <f>IF(AX295&lt;BB295,AX295,BB295)</f>
        <v>0</v>
      </c>
      <c r="BD295" s="119">
        <f>IF((BC295)&lt;=0,0,1)</f>
        <v>0</v>
      </c>
      <c r="BE295" s="20">
        <f>(('Rate Tables'!$G99*$E295)*PersonCalcYr3!BC295)*BD295*$F295</f>
        <v>0</v>
      </c>
      <c r="BF295" s="8">
        <f>AX295-(BC295*BD295)</f>
        <v>0</v>
      </c>
      <c r="BG295" s="20"/>
      <c r="BH295" s="20"/>
      <c r="BI295" s="20"/>
      <c r="BJ295" s="12"/>
      <c r="BK295" s="311"/>
      <c r="BL295" s="349" t="s">
        <v>643</v>
      </c>
      <c r="BM295" s="276" t="s">
        <v>136</v>
      </c>
      <c r="BN295" s="285">
        <f>(((O301+O302+O303+O304+AA301+AA302+AA303+AA304+AL301+AL302+AL303+AL304+AW301+AW302+AW303+AW304+BH301+BH302+BH303+BH304)*BI301)*BN296)*BL300</f>
        <v>0</v>
      </c>
      <c r="BO295" s="12" t="s">
        <v>418</v>
      </c>
    </row>
    <row r="296" spans="1:67" x14ac:dyDescent="0.25">
      <c r="A296" s="145"/>
      <c r="B296" s="12"/>
      <c r="C296" s="117" t="s">
        <v>664</v>
      </c>
      <c r="D296" s="117"/>
      <c r="E296" s="13"/>
      <c r="F296" s="13" t="s">
        <v>42</v>
      </c>
      <c r="G296" s="13" t="s">
        <v>41</v>
      </c>
      <c r="H296" s="65" t="s">
        <v>77</v>
      </c>
      <c r="I296" s="150" t="s">
        <v>51</v>
      </c>
      <c r="J296" s="13" t="s">
        <v>110</v>
      </c>
      <c r="K296" s="13" t="s">
        <v>53</v>
      </c>
      <c r="L296" s="13" t="s">
        <v>82</v>
      </c>
      <c r="M296" s="13" t="s">
        <v>32</v>
      </c>
      <c r="N296" s="13" t="s">
        <v>69</v>
      </c>
      <c r="O296" s="12"/>
      <c r="P296" s="13" t="s">
        <v>72</v>
      </c>
      <c r="Q296" s="65" t="s">
        <v>80</v>
      </c>
      <c r="R296" s="62" t="s">
        <v>81</v>
      </c>
      <c r="S296" s="65" t="s">
        <v>77</v>
      </c>
      <c r="T296" s="674" t="s">
        <v>107</v>
      </c>
      <c r="U296" s="13" t="s">
        <v>78</v>
      </c>
      <c r="V296" s="13" t="s">
        <v>82</v>
      </c>
      <c r="W296" s="13" t="s">
        <v>33</v>
      </c>
      <c r="X296" s="13" t="s">
        <v>69</v>
      </c>
      <c r="Y296" s="12"/>
      <c r="Z296" s="12"/>
      <c r="AA296" s="12"/>
      <c r="AB296" s="13" t="s">
        <v>72</v>
      </c>
      <c r="AC296" s="13" t="s">
        <v>80</v>
      </c>
      <c r="AD296" s="62" t="s">
        <v>81</v>
      </c>
      <c r="AE296" s="65" t="s">
        <v>77</v>
      </c>
      <c r="AF296" s="151" t="s">
        <v>107</v>
      </c>
      <c r="AG296" s="13" t="s">
        <v>79</v>
      </c>
      <c r="AH296" s="13" t="s">
        <v>82</v>
      </c>
      <c r="AI296" s="13" t="s">
        <v>34</v>
      </c>
      <c r="AJ296" s="13" t="s">
        <v>69</v>
      </c>
      <c r="AK296" s="12"/>
      <c r="AL296" s="12"/>
      <c r="AM296" s="13" t="s">
        <v>72</v>
      </c>
      <c r="AN296" s="13" t="s">
        <v>80</v>
      </c>
      <c r="AO296" s="62" t="s">
        <v>81</v>
      </c>
      <c r="AP296" s="65" t="s">
        <v>77</v>
      </c>
      <c r="AQ296" s="151" t="s">
        <v>107</v>
      </c>
      <c r="AR296" s="13" t="s">
        <v>79</v>
      </c>
      <c r="AS296" s="13" t="s">
        <v>82</v>
      </c>
      <c r="AT296" s="13" t="s">
        <v>34</v>
      </c>
      <c r="AU296" s="13" t="s">
        <v>69</v>
      </c>
      <c r="AV296" s="20"/>
      <c r="AW296" s="20"/>
      <c r="AX296" s="13" t="s">
        <v>72</v>
      </c>
      <c r="AY296" s="13" t="s">
        <v>80</v>
      </c>
      <c r="AZ296" s="62" t="s">
        <v>81</v>
      </c>
      <c r="BA296" s="65" t="s">
        <v>77</v>
      </c>
      <c r="BB296" s="151" t="s">
        <v>107</v>
      </c>
      <c r="BC296" s="13" t="s">
        <v>79</v>
      </c>
      <c r="BD296" s="13" t="s">
        <v>82</v>
      </c>
      <c r="BE296" s="13" t="s">
        <v>34</v>
      </c>
      <c r="BF296" s="13" t="s">
        <v>69</v>
      </c>
      <c r="BG296" s="20"/>
      <c r="BH296" s="20"/>
      <c r="BI296" s="20"/>
      <c r="BJ296" s="12"/>
      <c r="BK296" s="311"/>
      <c r="BL296" s="350" t="s">
        <v>644</v>
      </c>
      <c r="BM296" s="227" t="s">
        <v>582</v>
      </c>
      <c r="BN296" s="663">
        <f>IF(BN291&gt;0,1,0)</f>
        <v>0</v>
      </c>
      <c r="BO296" s="12"/>
    </row>
    <row r="297" spans="1:67" x14ac:dyDescent="0.25">
      <c r="A297" s="145"/>
      <c r="B297" s="12"/>
      <c r="C297" s="115"/>
      <c r="D297" s="115"/>
      <c r="E297" s="152">
        <f>BL291</f>
        <v>0</v>
      </c>
      <c r="F297" s="19">
        <f>IF($D$4=2024,1,0)</f>
        <v>1</v>
      </c>
      <c r="G297" s="178">
        <f>IF($B303="Yes",$C$5,$I302)</f>
        <v>12</v>
      </c>
      <c r="H297" s="36">
        <f>VLOOKUP(H301,'Lookup Tables'!$A$22:$B$33,2,FALSE)</f>
        <v>3</v>
      </c>
      <c r="I297" s="192">
        <f>VLOOKUP($E$4,'Lookup Tables'!$AB$46:$AN$58,MATCH($H297,'Lookup Tables'!$AB$46:$AN$46),FALSE)</f>
        <v>12</v>
      </c>
      <c r="J297" s="19">
        <f>12-I297</f>
        <v>0</v>
      </c>
      <c r="K297" s="19">
        <f>IF(G297&lt;J297,G297,J297)</f>
        <v>0</v>
      </c>
      <c r="L297" s="195">
        <f>IF(12-I297&gt;=1,1,0)</f>
        <v>0</v>
      </c>
      <c r="M297" s="20">
        <f>((('Rate Tables'!$D99*$E297)*PersonCalcYr3!$K297)*L297)*$F297</f>
        <v>0</v>
      </c>
      <c r="N297" s="8">
        <f>G297-(J297*L297)</f>
        <v>12</v>
      </c>
      <c r="O297" s="12"/>
      <c r="P297" s="8">
        <f>IF(N297&lt;0,N297*0,1)*N297</f>
        <v>12</v>
      </c>
      <c r="Q297" s="120">
        <f>VLOOKUP($H301,'Lookup Tables'!$A$22:$B$33,2,FALSE)+(K297*L297)</f>
        <v>3</v>
      </c>
      <c r="R297" s="121" t="str">
        <f>VLOOKUP(Q297,'Lookup Tables'!$A$38:$B$151,2,FALSE)</f>
        <v>Sept</v>
      </c>
      <c r="S297" s="36">
        <f>VLOOKUP(R297,'Lookup Tables'!$A$22:$B$33,2,FALSE)</f>
        <v>3</v>
      </c>
      <c r="T297" s="672">
        <f>VLOOKUP($E$4,'Lookup Tables'!$AQ$46:$BC$58,MATCH(PersonCalcYr3!$S297,'Lookup Tables'!$AQ$46:$BC$46),FALSE)</f>
        <v>10</v>
      </c>
      <c r="U297" s="19">
        <f>IF(P297&lt;T297,P297,T297)</f>
        <v>10</v>
      </c>
      <c r="V297" s="119">
        <f>IF((U297)&lt;=0,0,1)</f>
        <v>1</v>
      </c>
      <c r="W297" s="20">
        <f>(('Rate Tables'!$E99*$E297)*PersonCalcYr3!$U297)*$V297*$F297</f>
        <v>0</v>
      </c>
      <c r="X297" s="8">
        <f>P297-(U297*V297)</f>
        <v>2</v>
      </c>
      <c r="Y297" s="12"/>
      <c r="Z297" s="12"/>
      <c r="AA297" s="12"/>
      <c r="AB297" s="19">
        <f>X297</f>
        <v>2</v>
      </c>
      <c r="AC297" s="123">
        <f>AC263</f>
        <v>13</v>
      </c>
      <c r="AD297" s="121" t="str">
        <f>VLOOKUP(AC297,'Lookup Tables'!$A$38:$B$151,2,FALSE)</f>
        <v>July</v>
      </c>
      <c r="AE297" s="36">
        <f>VLOOKUP(AD297,'Lookup Tables'!$A$22:$B$33,2,FALSE)</f>
        <v>1</v>
      </c>
      <c r="AF297" s="87">
        <f>VLOOKUP($AE297,'Lookup Tables'!$AC$3:$AW$16,MATCH(PersonCalcYr3!$AB297,'Lookup Tables'!$AC$3:$AW$3),FALSE)</f>
        <v>2</v>
      </c>
      <c r="AG297" s="19">
        <f>IF(AB297&lt;AF297,AB297,AF297)</f>
        <v>2</v>
      </c>
      <c r="AH297" s="119">
        <f>IF((AG297)&lt;=0,0,1)</f>
        <v>1</v>
      </c>
      <c r="AI297" s="20">
        <f>(('Rate Tables'!$F99*$E297)*PersonCalcYr3!AG297)*AH297*$F297</f>
        <v>0</v>
      </c>
      <c r="AJ297" s="8">
        <f>AB297-(AG297*AH297)</f>
        <v>0</v>
      </c>
      <c r="AK297" s="12"/>
      <c r="AL297" s="12"/>
      <c r="AM297" s="19">
        <f>AJ297</f>
        <v>0</v>
      </c>
      <c r="AN297" s="123">
        <f>AN263</f>
        <v>3</v>
      </c>
      <c r="AO297" s="121" t="str">
        <f>VLOOKUP(AN297,'Lookup Tables'!$A$38:$B$151,2,FALSE)</f>
        <v>Sept</v>
      </c>
      <c r="AP297" s="36">
        <f>VLOOKUP(AO297,'Lookup Tables'!$A$22:$B$33,2,FALSE)</f>
        <v>3</v>
      </c>
      <c r="AQ297" s="87">
        <f>VLOOKUP($AP297,'Lookup Tables'!$AC$3:$AW$16,MATCH(PersonCalcYr3!$AM297,'Lookup Tables'!$AC$3:$AW$3),FALSE)</f>
        <v>0</v>
      </c>
      <c r="AR297" s="19">
        <f>IF(AM297&lt;AQ297,AM297,AQ297)</f>
        <v>0</v>
      </c>
      <c r="AS297" s="119">
        <f>IF((AR297)&lt;=0,0,1)</f>
        <v>0</v>
      </c>
      <c r="AT297" s="20">
        <f>(('Rate Tables'!$G99*$E297)*PersonCalcYr3!AR297)*AS297*$F297</f>
        <v>0</v>
      </c>
      <c r="AU297" s="8">
        <f>AM297-(AR297*AS297)</f>
        <v>0</v>
      </c>
      <c r="AV297" s="20"/>
      <c r="AW297" s="20"/>
      <c r="AX297" s="19">
        <f>AU297</f>
        <v>0</v>
      </c>
      <c r="AY297" s="123">
        <f>AY263</f>
        <v>3</v>
      </c>
      <c r="AZ297" s="121" t="str">
        <f>VLOOKUP(AY297,'Lookup Tables'!$A$38:$B$151,2,FALSE)</f>
        <v>Sept</v>
      </c>
      <c r="BA297" s="36">
        <f>VLOOKUP(AZ297,'Lookup Tables'!$A$22:$B$33,2,FALSE)</f>
        <v>3</v>
      </c>
      <c r="BB297" s="87">
        <f>VLOOKUP($BA297,'Lookup Tables'!$AC$3:$AW$16,MATCH(PersonCalcYr3!$AX297,'Lookup Tables'!$AC$3:$AW$3),FALSE)</f>
        <v>0</v>
      </c>
      <c r="BC297" s="19">
        <f>IF(AX297&lt;BB297,AX297,BB297)</f>
        <v>0</v>
      </c>
      <c r="BD297" s="119">
        <f>IF((BC297)&lt;=0,0,1)</f>
        <v>0</v>
      </c>
      <c r="BE297" s="20">
        <f>(('Rate Tables'!$H99*$E297)*PersonCalcYr3!BC297)*BD297*$F297</f>
        <v>0</v>
      </c>
      <c r="BF297" s="8">
        <f>AX297-(BC297*BD297)</f>
        <v>0</v>
      </c>
      <c r="BG297" s="20"/>
      <c r="BH297" s="20"/>
      <c r="BI297" s="20"/>
      <c r="BJ297" s="12"/>
      <c r="BK297" s="311"/>
      <c r="BL297" s="358" t="str">
        <f>IF(BL291=50%,"no",Personnel!W78)</f>
        <v>No</v>
      </c>
      <c r="BM297" s="276"/>
      <c r="BN297" s="285"/>
      <c r="BO297" s="12"/>
    </row>
    <row r="298" spans="1:67" x14ac:dyDescent="0.25">
      <c r="A298" s="145"/>
      <c r="B298" s="12"/>
      <c r="C298" s="819" t="s">
        <v>732</v>
      </c>
      <c r="D298" s="117"/>
      <c r="E298" s="13"/>
      <c r="F298" s="13" t="s">
        <v>42</v>
      </c>
      <c r="G298" s="13" t="s">
        <v>41</v>
      </c>
      <c r="H298" s="65" t="s">
        <v>77</v>
      </c>
      <c r="I298" s="150" t="s">
        <v>51</v>
      </c>
      <c r="J298" s="13" t="s">
        <v>110</v>
      </c>
      <c r="K298" s="13" t="s">
        <v>53</v>
      </c>
      <c r="L298" s="13" t="s">
        <v>82</v>
      </c>
      <c r="M298" s="13" t="s">
        <v>32</v>
      </c>
      <c r="N298" s="13" t="s">
        <v>69</v>
      </c>
      <c r="O298" s="12"/>
      <c r="P298" s="13" t="s">
        <v>72</v>
      </c>
      <c r="Q298" s="65" t="s">
        <v>80</v>
      </c>
      <c r="R298" s="62" t="s">
        <v>81</v>
      </c>
      <c r="S298" s="65" t="s">
        <v>77</v>
      </c>
      <c r="T298" s="674" t="s">
        <v>107</v>
      </c>
      <c r="U298" s="13" t="s">
        <v>78</v>
      </c>
      <c r="V298" s="13" t="s">
        <v>82</v>
      </c>
      <c r="W298" s="13" t="s">
        <v>33</v>
      </c>
      <c r="X298" s="13" t="s">
        <v>69</v>
      </c>
      <c r="Y298" s="12"/>
      <c r="Z298" s="12"/>
      <c r="AA298" s="12"/>
      <c r="AB298" s="13" t="s">
        <v>72</v>
      </c>
      <c r="AC298" s="13" t="s">
        <v>80</v>
      </c>
      <c r="AD298" s="62" t="s">
        <v>81</v>
      </c>
      <c r="AE298" s="65" t="s">
        <v>77</v>
      </c>
      <c r="AF298" s="151" t="s">
        <v>107</v>
      </c>
      <c r="AG298" s="13" t="s">
        <v>79</v>
      </c>
      <c r="AH298" s="13" t="s">
        <v>82</v>
      </c>
      <c r="AI298" s="13" t="s">
        <v>34</v>
      </c>
      <c r="AJ298" s="13" t="s">
        <v>69</v>
      </c>
      <c r="AK298" s="12"/>
      <c r="AL298" s="12"/>
      <c r="AM298" s="13" t="s">
        <v>72</v>
      </c>
      <c r="AN298" s="13" t="s">
        <v>80</v>
      </c>
      <c r="AO298" s="62" t="s">
        <v>81</v>
      </c>
      <c r="AP298" s="65" t="s">
        <v>77</v>
      </c>
      <c r="AQ298" s="151" t="s">
        <v>107</v>
      </c>
      <c r="AR298" s="13" t="s">
        <v>79</v>
      </c>
      <c r="AS298" s="13" t="s">
        <v>82</v>
      </c>
      <c r="AT298" s="13" t="s">
        <v>34</v>
      </c>
      <c r="AU298" s="13" t="s">
        <v>69</v>
      </c>
      <c r="AV298" s="20"/>
      <c r="AW298" s="20"/>
      <c r="AX298" s="13" t="s">
        <v>72</v>
      </c>
      <c r="AY298" s="13" t="s">
        <v>80</v>
      </c>
      <c r="AZ298" s="62" t="s">
        <v>81</v>
      </c>
      <c r="BA298" s="65" t="s">
        <v>77</v>
      </c>
      <c r="BB298" s="151" t="s">
        <v>107</v>
      </c>
      <c r="BC298" s="13" t="s">
        <v>79</v>
      </c>
      <c r="BD298" s="13" t="s">
        <v>82</v>
      </c>
      <c r="BE298" s="13" t="s">
        <v>34</v>
      </c>
      <c r="BF298" s="13" t="s">
        <v>69</v>
      </c>
      <c r="BG298" s="20"/>
      <c r="BH298" s="20"/>
      <c r="BI298" s="20"/>
      <c r="BJ298" s="12"/>
      <c r="BK298" s="311"/>
      <c r="BL298" s="358"/>
      <c r="BM298" s="276"/>
      <c r="BN298" s="285"/>
      <c r="BO298" s="12"/>
    </row>
    <row r="299" spans="1:67" x14ac:dyDescent="0.25">
      <c r="A299" s="145"/>
      <c r="B299" s="12"/>
      <c r="C299" s="115"/>
      <c r="D299" s="115"/>
      <c r="E299" s="152">
        <f>BL291</f>
        <v>0</v>
      </c>
      <c r="F299" s="19">
        <f>IF($D$4=2025,1,0)</f>
        <v>0</v>
      </c>
      <c r="G299" s="178">
        <f>IF($B303="Yes",$C$5,$I302)</f>
        <v>12</v>
      </c>
      <c r="H299" s="36">
        <f>VLOOKUP(H301,'Lookup Tables'!$A$22:$B$33,2,FALSE)</f>
        <v>3</v>
      </c>
      <c r="I299" s="192">
        <f>VLOOKUP($E$4,'Lookup Tables'!$AB$46:$AN$58,MATCH($H299,'Lookup Tables'!$AB$46:$AN$46),FALSE)</f>
        <v>12</v>
      </c>
      <c r="J299" s="19">
        <f>12-I299</f>
        <v>0</v>
      </c>
      <c r="K299" s="19">
        <f>IF(G299&lt;J299,G299,J299)</f>
        <v>0</v>
      </c>
      <c r="L299" s="195">
        <f>IF(12-I299&gt;=1,1,0)</f>
        <v>0</v>
      </c>
      <c r="M299" s="20">
        <f>((('Rate Tables'!$E99*$E299)*PersonCalcYr3!$K299)*L299)*$F299</f>
        <v>0</v>
      </c>
      <c r="N299" s="8">
        <f>G299-(J299*L299)</f>
        <v>12</v>
      </c>
      <c r="O299" s="12"/>
      <c r="P299" s="8">
        <f>IF(N299&lt;0,N299*0,1)*N299</f>
        <v>12</v>
      </c>
      <c r="Q299" s="120">
        <f>VLOOKUP($H301,'Lookup Tables'!$A$22:$B$33,2,FALSE)+(K299*L299)</f>
        <v>3</v>
      </c>
      <c r="R299" s="121" t="str">
        <f>VLOOKUP(Q299,'Lookup Tables'!$A$38:$B$151,2,FALSE)</f>
        <v>Sept</v>
      </c>
      <c r="S299" s="36">
        <f>VLOOKUP(R299,'Lookup Tables'!$A$22:$B$33,2,FALSE)</f>
        <v>3</v>
      </c>
      <c r="T299" s="672">
        <f>VLOOKUP($E$4,'Lookup Tables'!$AQ$46:$BC$58,MATCH(PersonCalcYr3!$S299,'Lookup Tables'!$AQ$46:$BC$46),FALSE)</f>
        <v>10</v>
      </c>
      <c r="U299" s="19">
        <f>IF(P299&lt;T299,P299,T299)</f>
        <v>10</v>
      </c>
      <c r="V299" s="119">
        <f>IF((U299)&lt;=0,0,1)</f>
        <v>1</v>
      </c>
      <c r="W299" s="20">
        <f>(('Rate Tables'!$F99*$E299)*PersonCalcYr3!$U299)*$V299*$F299</f>
        <v>0</v>
      </c>
      <c r="X299" s="8">
        <f>P299-(U299*V299)</f>
        <v>2</v>
      </c>
      <c r="Y299" s="12"/>
      <c r="Z299" s="12"/>
      <c r="AA299" s="12"/>
      <c r="AB299" s="19">
        <f>X299</f>
        <v>2</v>
      </c>
      <c r="AC299" s="123">
        <f>AC265</f>
        <v>13</v>
      </c>
      <c r="AD299" s="121" t="str">
        <f>VLOOKUP(AC299,'Lookup Tables'!$A$38:$B$151,2,FALSE)</f>
        <v>July</v>
      </c>
      <c r="AE299" s="36">
        <f>VLOOKUP(AD299,'Lookup Tables'!$A$22:$B$33,2,FALSE)</f>
        <v>1</v>
      </c>
      <c r="AF299" s="87">
        <f>VLOOKUP($AE299,'Lookup Tables'!$AC$3:$AW$16,MATCH(PersonCalcYr3!$AB299,'Lookup Tables'!$AC$3:$AW$3),FALSE)</f>
        <v>2</v>
      </c>
      <c r="AG299" s="19">
        <f>IF(AB299&lt;AF299,AB299,AF299)</f>
        <v>2</v>
      </c>
      <c r="AH299" s="119">
        <f>IF((AG299)&lt;=0,0,1)</f>
        <v>1</v>
      </c>
      <c r="AI299" s="20">
        <f>(('Rate Tables'!$G99*$E299)*PersonCalcYr3!AG299)*AH299*$F299</f>
        <v>0</v>
      </c>
      <c r="AJ299" s="8">
        <f>AB299-(AG299*AH299)</f>
        <v>0</v>
      </c>
      <c r="AK299" s="12"/>
      <c r="AL299" s="12"/>
      <c r="AM299" s="19">
        <f>AJ299</f>
        <v>0</v>
      </c>
      <c r="AN299" s="123">
        <f>AN265</f>
        <v>3</v>
      </c>
      <c r="AO299" s="121" t="str">
        <f>VLOOKUP(AN299,'Lookup Tables'!$A$38:$B$151,2,FALSE)</f>
        <v>Sept</v>
      </c>
      <c r="AP299" s="36">
        <f>VLOOKUP(AO299,'Lookup Tables'!$A$22:$B$33,2,FALSE)</f>
        <v>3</v>
      </c>
      <c r="AQ299" s="87">
        <f>VLOOKUP($AP299,'Lookup Tables'!$AC$3:$AW$16,MATCH(PersonCalcYr3!$AM299,'Lookup Tables'!$AC$3:$AW$3),FALSE)</f>
        <v>0</v>
      </c>
      <c r="AR299" s="19">
        <f>IF(AM299&lt;AQ299,AM299,AQ299)</f>
        <v>0</v>
      </c>
      <c r="AS299" s="119">
        <f>IF((AR299)&lt;=0,0,1)</f>
        <v>0</v>
      </c>
      <c r="AT299" s="20">
        <f>(('Rate Tables'!$H99*$E299)*PersonCalcYr3!AR299)*AS299*$F299</f>
        <v>0</v>
      </c>
      <c r="AU299" s="8">
        <f>AM299-(AR299*AS299)</f>
        <v>0</v>
      </c>
      <c r="AV299" s="20"/>
      <c r="AW299" s="20"/>
      <c r="AX299" s="19">
        <f>AU299</f>
        <v>0</v>
      </c>
      <c r="AY299" s="123">
        <f>AY265</f>
        <v>3</v>
      </c>
      <c r="AZ299" s="121" t="str">
        <f>VLOOKUP(AY299,'Lookup Tables'!$A$38:$B$151,2,FALSE)</f>
        <v>Sept</v>
      </c>
      <c r="BA299" s="36">
        <f>VLOOKUP(AZ299,'Lookup Tables'!$A$22:$B$33,2,FALSE)</f>
        <v>3</v>
      </c>
      <c r="BB299" s="87">
        <f>VLOOKUP($BA299,'Lookup Tables'!$AC$3:$AW$16,MATCH(PersonCalcYr3!$AX299,'Lookup Tables'!$AC$3:$AW$3),FALSE)</f>
        <v>0</v>
      </c>
      <c r="BC299" s="19">
        <f>IF(AX299&lt;BB299,AX299,BB299)</f>
        <v>0</v>
      </c>
      <c r="BD299" s="119">
        <f>IF((BC299)&lt;=0,0,1)</f>
        <v>0</v>
      </c>
      <c r="BE299" s="20">
        <f>(('Rate Tables'!$I99*$E299)*PersonCalcYr3!BC299)*BD299*$F299</f>
        <v>0</v>
      </c>
      <c r="BF299" s="8">
        <f>AX299-(BC299*BD299)</f>
        <v>0</v>
      </c>
      <c r="BG299" s="20"/>
      <c r="BH299" s="20"/>
      <c r="BI299" s="20"/>
      <c r="BJ299" s="12"/>
      <c r="BK299" s="311"/>
      <c r="BL299" s="358"/>
      <c r="BM299" s="276"/>
      <c r="BN299" s="285"/>
      <c r="BO299" s="12"/>
    </row>
    <row r="300" spans="1:67" x14ac:dyDescent="0.25">
      <c r="A300" s="145"/>
      <c r="B300" s="12" t="s">
        <v>127</v>
      </c>
      <c r="C300" s="12"/>
      <c r="D300" s="12"/>
      <c r="E300" s="12"/>
      <c r="F300" s="12"/>
      <c r="G300" s="12"/>
      <c r="H300" s="12"/>
      <c r="I300" s="12"/>
      <c r="J300" s="12"/>
      <c r="K300" s="12"/>
      <c r="L300" s="13"/>
      <c r="M300" s="13" t="s">
        <v>129</v>
      </c>
      <c r="N300" s="13" t="s">
        <v>128</v>
      </c>
      <c r="O300" s="153" t="s">
        <v>130</v>
      </c>
      <c r="P300" s="12"/>
      <c r="Q300" s="12"/>
      <c r="R300" s="12"/>
      <c r="S300" s="12"/>
      <c r="T300" s="12"/>
      <c r="U300" s="12"/>
      <c r="V300" s="12"/>
      <c r="W300" s="12"/>
      <c r="X300" s="12"/>
      <c r="Y300" s="13" t="s">
        <v>129</v>
      </c>
      <c r="Z300" s="13" t="s">
        <v>128</v>
      </c>
      <c r="AA300" s="153" t="s">
        <v>130</v>
      </c>
      <c r="AB300" s="12"/>
      <c r="AC300" s="12"/>
      <c r="AD300" s="12"/>
      <c r="AE300" s="12"/>
      <c r="AF300" s="12"/>
      <c r="AG300" s="12"/>
      <c r="AH300" s="12"/>
      <c r="AI300" s="12"/>
      <c r="AJ300" s="13" t="s">
        <v>129</v>
      </c>
      <c r="AK300" s="13" t="s">
        <v>128</v>
      </c>
      <c r="AL300" s="153" t="s">
        <v>130</v>
      </c>
      <c r="AM300" s="11"/>
      <c r="AN300" s="12"/>
      <c r="AO300" s="12"/>
      <c r="AP300" s="12"/>
      <c r="AQ300" s="12"/>
      <c r="AR300" s="12"/>
      <c r="AS300" s="12"/>
      <c r="AT300" s="12"/>
      <c r="AU300" s="13" t="s">
        <v>129</v>
      </c>
      <c r="AV300" s="13" t="s">
        <v>128</v>
      </c>
      <c r="AW300" s="153" t="s">
        <v>130</v>
      </c>
      <c r="AX300" s="153"/>
      <c r="AY300" s="153"/>
      <c r="AZ300" s="153"/>
      <c r="BA300" s="153"/>
      <c r="BB300" s="153"/>
      <c r="BC300" s="153"/>
      <c r="BD300" s="153"/>
      <c r="BE300" s="153"/>
      <c r="BF300" s="13" t="s">
        <v>129</v>
      </c>
      <c r="BG300" s="13" t="s">
        <v>128</v>
      </c>
      <c r="BH300" s="153" t="s">
        <v>130</v>
      </c>
      <c r="BI300" s="13" t="s">
        <v>159</v>
      </c>
      <c r="BJ300" s="12"/>
      <c r="BK300" s="227"/>
      <c r="BL300" s="349">
        <f>IF(BL297="yes",0.5,1)</f>
        <v>1</v>
      </c>
      <c r="BM300" s="12"/>
      <c r="BN300" s="285"/>
      <c r="BO300" s="372">
        <f>VLOOKUP('F&amp;ARatesCalc'!$B$1,'F&amp;ARatesCalc'!$A$3:$B$5,2,FALSE)</f>
        <v>0.56999999999999995</v>
      </c>
    </row>
    <row r="301" spans="1:67" x14ac:dyDescent="0.25">
      <c r="A301" s="145"/>
      <c r="B301" s="12"/>
      <c r="C301" s="12"/>
      <c r="D301" s="12"/>
      <c r="E301" s="12"/>
      <c r="F301" s="12"/>
      <c r="G301" s="178" t="s">
        <v>430</v>
      </c>
      <c r="H301" s="178" t="str">
        <f>IF(B303="yes",$C$4,A305)</f>
        <v>Sept</v>
      </c>
      <c r="I301" s="12"/>
      <c r="J301" s="12"/>
      <c r="K301" s="12"/>
      <c r="L301" s="12"/>
      <c r="M301" s="129">
        <f>'Rate Tables'!$P$17</f>
        <v>910</v>
      </c>
      <c r="N301" s="146">
        <f>(K293*L293)*F293</f>
        <v>0</v>
      </c>
      <c r="O301" s="154">
        <f>M301*N301</f>
        <v>0</v>
      </c>
      <c r="P301" s="12"/>
      <c r="Q301" s="12"/>
      <c r="R301" s="12"/>
      <c r="S301" s="12"/>
      <c r="T301" s="12"/>
      <c r="U301" s="12"/>
      <c r="V301" s="12"/>
      <c r="W301" s="12"/>
      <c r="X301" s="12"/>
      <c r="Y301" s="129">
        <f>'Rate Tables'!$P$18</f>
        <v>910</v>
      </c>
      <c r="Z301" s="146">
        <f>U293*V293*F293</f>
        <v>0</v>
      </c>
      <c r="AA301" s="125">
        <f>Y301*Z301</f>
        <v>0</v>
      </c>
      <c r="AB301" s="12"/>
      <c r="AC301" s="12"/>
      <c r="AD301" s="12"/>
      <c r="AE301" s="12"/>
      <c r="AF301" s="12"/>
      <c r="AG301" s="12"/>
      <c r="AH301" s="12"/>
      <c r="AI301" s="12"/>
      <c r="AJ301" s="129">
        <f>'Rate Tables'!$P$19</f>
        <v>910</v>
      </c>
      <c r="AK301" s="146">
        <f>AG293*AH293*F293</f>
        <v>0</v>
      </c>
      <c r="AL301" s="125">
        <f>AJ301*AK301</f>
        <v>0</v>
      </c>
      <c r="AM301" s="11"/>
      <c r="AN301" s="12"/>
      <c r="AO301" s="12"/>
      <c r="AP301" s="12"/>
      <c r="AQ301" s="12"/>
      <c r="AR301" s="12"/>
      <c r="AS301" s="12"/>
      <c r="AT301" s="12"/>
      <c r="AU301" s="129">
        <f>'Rate Tables'!$P$20</f>
        <v>928.2</v>
      </c>
      <c r="AV301" s="146">
        <f>AR293*AS293*F293</f>
        <v>0</v>
      </c>
      <c r="AW301" s="125">
        <f>AU301*AV301</f>
        <v>0</v>
      </c>
      <c r="AX301" s="125"/>
      <c r="AY301" s="125"/>
      <c r="AZ301" s="125"/>
      <c r="BA301" s="125"/>
      <c r="BB301" s="125"/>
      <c r="BC301" s="125"/>
      <c r="BD301" s="125"/>
      <c r="BE301" s="125"/>
      <c r="BF301" s="129">
        <f>'Rate Tables'!$P$21</f>
        <v>946.76</v>
      </c>
      <c r="BG301" s="146">
        <f>BC293*BD293*F293</f>
        <v>0</v>
      </c>
      <c r="BH301" s="125">
        <f>BF301*BG301</f>
        <v>0</v>
      </c>
      <c r="BI301" s="19">
        <f>VLOOKUP(B255,'Lookup Tables'!$AK$22:$AM$24,3,0)</f>
        <v>1</v>
      </c>
      <c r="BJ301" s="12"/>
      <c r="BK301" s="307"/>
      <c r="BL301" s="125"/>
      <c r="BM301" s="12"/>
      <c r="BN301" s="285"/>
      <c r="BO301" s="12" t="s">
        <v>417</v>
      </c>
    </row>
    <row r="302" spans="1:67" x14ac:dyDescent="0.25">
      <c r="A302" s="145"/>
      <c r="B302" s="12"/>
      <c r="C302" s="12"/>
      <c r="D302" s="12"/>
      <c r="E302" s="12"/>
      <c r="F302" s="12"/>
      <c r="G302" s="818" t="s">
        <v>665</v>
      </c>
      <c r="H302" s="11">
        <f>IF(H305&lt;$C$5,H305,$C$5)</f>
        <v>12</v>
      </c>
      <c r="I302" s="178">
        <f>IF(B305&lt;=H305,B305,H305)</f>
        <v>0</v>
      </c>
      <c r="J302" s="12"/>
      <c r="K302" s="12"/>
      <c r="L302" s="12"/>
      <c r="M302" s="129">
        <f>'Rate Tables'!$P$18</f>
        <v>910</v>
      </c>
      <c r="N302" s="146">
        <f>K295*L295*F295</f>
        <v>0</v>
      </c>
      <c r="O302" s="154">
        <f>M302*N302</f>
        <v>0</v>
      </c>
      <c r="P302" s="12"/>
      <c r="Q302" s="12"/>
      <c r="R302" s="12"/>
      <c r="S302" s="12"/>
      <c r="T302" s="12"/>
      <c r="U302" s="12"/>
      <c r="V302" s="12"/>
      <c r="W302" s="12"/>
      <c r="X302" s="12"/>
      <c r="Y302" s="129">
        <f>'Rate Tables'!$P$19</f>
        <v>910</v>
      </c>
      <c r="Z302" s="146">
        <f>U295*V295*F295</f>
        <v>0</v>
      </c>
      <c r="AA302" s="125">
        <f>Y302*Z302</f>
        <v>0</v>
      </c>
      <c r="AB302" s="12"/>
      <c r="AC302" s="12"/>
      <c r="AD302" s="12"/>
      <c r="AE302" s="12"/>
      <c r="AF302" s="12"/>
      <c r="AG302" s="12"/>
      <c r="AH302" s="12"/>
      <c r="AI302" s="12"/>
      <c r="AJ302" s="129">
        <f>'Rate Tables'!$P$20</f>
        <v>928.2</v>
      </c>
      <c r="AK302" s="146">
        <f>AG295*AH295*F295</f>
        <v>0</v>
      </c>
      <c r="AL302" s="125">
        <f>AJ302*AK302</f>
        <v>0</v>
      </c>
      <c r="AM302" s="11"/>
      <c r="AN302" s="12"/>
      <c r="AO302" s="12"/>
      <c r="AP302" s="12"/>
      <c r="AQ302" s="12"/>
      <c r="AR302" s="12"/>
      <c r="AS302" s="12"/>
      <c r="AT302" s="12"/>
      <c r="AU302" s="129">
        <f>'Rate Tables'!$P$21</f>
        <v>946.76</v>
      </c>
      <c r="AV302" s="146">
        <f>AR295*AS295*F295</f>
        <v>0</v>
      </c>
      <c r="AW302" s="125">
        <f>AU302*AV302</f>
        <v>0</v>
      </c>
      <c r="AX302" s="125"/>
      <c r="AY302" s="125"/>
      <c r="AZ302" s="125"/>
      <c r="BA302" s="125"/>
      <c r="BB302" s="125"/>
      <c r="BC302" s="125"/>
      <c r="BD302" s="125"/>
      <c r="BE302" s="125"/>
      <c r="BF302" s="129">
        <f>'Rate Tables'!$P$22</f>
        <v>965.7</v>
      </c>
      <c r="BG302" s="146">
        <f>BC295*BD295*F295</f>
        <v>0</v>
      </c>
      <c r="BH302" s="125">
        <f>BF302*BG302</f>
        <v>0</v>
      </c>
      <c r="BI302" s="12" t="s">
        <v>244</v>
      </c>
      <c r="BJ302" s="12"/>
      <c r="BK302" s="307"/>
      <c r="BL302" s="12"/>
      <c r="BM302" s="12"/>
      <c r="BN302" s="285"/>
      <c r="BO302" s="12">
        <f>(BN303+BN304)*BO300</f>
        <v>0</v>
      </c>
    </row>
    <row r="303" spans="1:67" x14ac:dyDescent="0.25">
      <c r="A303" s="377" t="s">
        <v>431</v>
      </c>
      <c r="B303" s="375" t="str">
        <f>Personnel!U74</f>
        <v>YES</v>
      </c>
      <c r="C303" s="12"/>
      <c r="D303" s="12"/>
      <c r="E303" s="12"/>
      <c r="F303" s="12"/>
      <c r="G303" s="818" t="s">
        <v>559</v>
      </c>
      <c r="H303" s="12">
        <f>BK276</f>
        <v>0</v>
      </c>
      <c r="I303" s="12"/>
      <c r="J303" s="12"/>
      <c r="K303" s="12"/>
      <c r="L303" s="12"/>
      <c r="M303" s="129">
        <f>'Rate Tables'!$P$19</f>
        <v>910</v>
      </c>
      <c r="N303" s="146">
        <f>K297*L297*F297</f>
        <v>0</v>
      </c>
      <c r="O303" s="154">
        <f>M303*N303</f>
        <v>0</v>
      </c>
      <c r="P303" s="12"/>
      <c r="Q303" s="12"/>
      <c r="R303" s="12"/>
      <c r="S303" s="12"/>
      <c r="T303" s="12"/>
      <c r="U303" s="12"/>
      <c r="V303" s="12"/>
      <c r="W303" s="12"/>
      <c r="X303" s="12"/>
      <c r="Y303" s="129">
        <f>'Rate Tables'!$P$20</f>
        <v>928.2</v>
      </c>
      <c r="Z303" s="146">
        <f>U297*V297*F297</f>
        <v>10</v>
      </c>
      <c r="AA303" s="125">
        <f>Y303*Z303</f>
        <v>9282</v>
      </c>
      <c r="AB303" s="12"/>
      <c r="AC303" s="12"/>
      <c r="AD303" s="12"/>
      <c r="AE303" s="12"/>
      <c r="AF303" s="12"/>
      <c r="AG303" s="12"/>
      <c r="AH303" s="12"/>
      <c r="AI303" s="12"/>
      <c r="AJ303" s="129">
        <f>'Rate Tables'!$P$21</f>
        <v>946.76</v>
      </c>
      <c r="AK303" s="146">
        <f>AG297*AH297*F297</f>
        <v>2</v>
      </c>
      <c r="AL303" s="125">
        <f>AJ303*AK303</f>
        <v>1893.52</v>
      </c>
      <c r="AM303" s="11"/>
      <c r="AN303" s="12"/>
      <c r="AO303" s="12"/>
      <c r="AP303" s="12"/>
      <c r="AQ303" s="12"/>
      <c r="AR303" s="12"/>
      <c r="AS303" s="12"/>
      <c r="AT303" s="12"/>
      <c r="AU303" s="129">
        <f>'Rate Tables'!$P$22</f>
        <v>965.7</v>
      </c>
      <c r="AV303" s="146">
        <f>AR297*AS297*F297</f>
        <v>0</v>
      </c>
      <c r="AW303" s="125">
        <f>AU303*AV303</f>
        <v>0</v>
      </c>
      <c r="AX303" s="125"/>
      <c r="AY303" s="125"/>
      <c r="AZ303" s="125"/>
      <c r="BA303" s="125"/>
      <c r="BB303" s="125"/>
      <c r="BC303" s="125"/>
      <c r="BD303" s="125"/>
      <c r="BE303" s="125"/>
      <c r="BF303" s="129">
        <f>'Rate Tables'!$P$23</f>
        <v>985.01</v>
      </c>
      <c r="BG303" s="146">
        <f>BC297*BD297*F297</f>
        <v>0</v>
      </c>
      <c r="BH303" s="125">
        <f>BF303*BG303</f>
        <v>0</v>
      </c>
      <c r="BI303" s="12">
        <f>IF(BN303&gt;=1,1,0)</f>
        <v>0</v>
      </c>
      <c r="BJ303" s="12"/>
      <c r="BK303" s="227"/>
      <c r="BL303" s="226"/>
      <c r="BM303" s="278" t="s">
        <v>96</v>
      </c>
      <c r="BN303" s="285">
        <f>BN257+BN274+BN291</f>
        <v>0</v>
      </c>
      <c r="BO303" s="15"/>
    </row>
    <row r="304" spans="1:67" ht="15.75" thickBot="1" x14ac:dyDescent="0.3">
      <c r="A304" s="296" t="s">
        <v>439</v>
      </c>
      <c r="B304" s="114" t="s">
        <v>427</v>
      </c>
      <c r="C304" s="12"/>
      <c r="D304" s="12"/>
      <c r="E304" s="12"/>
      <c r="F304" s="12"/>
      <c r="G304" s="818" t="s">
        <v>560</v>
      </c>
      <c r="H304" s="178">
        <f>VLOOKUP(H293,'Lookup Tables'!$L$62:$Y$74,MATCH(G293,'Lookup Tables'!$L$62:$Y$62,FALSE))</f>
        <v>65</v>
      </c>
      <c r="I304" s="12"/>
      <c r="J304" s="12"/>
      <c r="K304" s="12"/>
      <c r="L304" s="12"/>
      <c r="M304" s="129">
        <f>'Rate Tables'!$P$20</f>
        <v>928.2</v>
      </c>
      <c r="N304" s="146">
        <f>K299*L299*F299</f>
        <v>0</v>
      </c>
      <c r="O304" s="154">
        <f>M304*N304</f>
        <v>0</v>
      </c>
      <c r="P304" s="12"/>
      <c r="Q304" s="12"/>
      <c r="R304" s="12"/>
      <c r="S304" s="12"/>
      <c r="T304" s="12"/>
      <c r="U304" s="12"/>
      <c r="V304" s="12"/>
      <c r="W304" s="12"/>
      <c r="X304" s="12"/>
      <c r="Y304" s="129">
        <f>'Rate Tables'!$P$21</f>
        <v>946.76</v>
      </c>
      <c r="Z304" s="146">
        <f>U299*V299*F299</f>
        <v>0</v>
      </c>
      <c r="AA304" s="125">
        <f>Y304*Z304</f>
        <v>0</v>
      </c>
      <c r="AB304" s="12"/>
      <c r="AC304" s="12"/>
      <c r="AD304" s="12"/>
      <c r="AE304" s="12"/>
      <c r="AF304" s="12"/>
      <c r="AG304" s="12"/>
      <c r="AH304" s="12"/>
      <c r="AI304" s="12"/>
      <c r="AJ304" s="129">
        <f>'Rate Tables'!$P$22</f>
        <v>965.7</v>
      </c>
      <c r="AK304" s="146">
        <f>AG299*AH299*F299</f>
        <v>0</v>
      </c>
      <c r="AL304" s="125">
        <f>AJ304*AK304</f>
        <v>0</v>
      </c>
      <c r="AM304" s="12"/>
      <c r="AN304" s="12"/>
      <c r="AO304" s="12"/>
      <c r="AP304" s="12"/>
      <c r="AQ304" s="12"/>
      <c r="AR304" s="12"/>
      <c r="AS304" s="12"/>
      <c r="AT304" s="12"/>
      <c r="AU304" s="129">
        <f>'Rate Tables'!$P$23</f>
        <v>985.01</v>
      </c>
      <c r="AV304" s="146">
        <f>AR299*AS299*F299</f>
        <v>0</v>
      </c>
      <c r="AW304" s="125">
        <f>AU304*AV304</f>
        <v>0</v>
      </c>
      <c r="AX304" s="12"/>
      <c r="AY304" s="12"/>
      <c r="AZ304" s="12"/>
      <c r="BA304" s="12"/>
      <c r="BB304" s="12"/>
      <c r="BC304" s="12"/>
      <c r="BD304" s="12"/>
      <c r="BE304" s="12"/>
      <c r="BF304" s="129">
        <f>'Rate Tables'!$P$24</f>
        <v>1004.71</v>
      </c>
      <c r="BG304" s="146">
        <f>BC299*BD299*F299</f>
        <v>0</v>
      </c>
      <c r="BH304" s="125">
        <f>BF304*BG304</f>
        <v>0</v>
      </c>
      <c r="BI304" s="12"/>
      <c r="BJ304" s="12"/>
      <c r="BK304" s="227"/>
      <c r="BL304" s="224"/>
      <c r="BM304" s="278" t="s">
        <v>415</v>
      </c>
      <c r="BN304" s="285">
        <f>BN259+BN275+BN293</f>
        <v>0</v>
      </c>
      <c r="BO304" s="15"/>
    </row>
    <row r="305" spans="1:67" ht="15.75" thickBot="1" x14ac:dyDescent="0.3">
      <c r="A305" s="380">
        <f>Personnel!U75</f>
        <v>0</v>
      </c>
      <c r="B305" s="273">
        <f>Personnel!U76</f>
        <v>0</v>
      </c>
      <c r="C305" s="12"/>
      <c r="D305" s="12"/>
      <c r="E305" s="12"/>
      <c r="F305" s="12"/>
      <c r="G305" s="818" t="s">
        <v>555</v>
      </c>
      <c r="H305" s="175">
        <f>VLOOKUP($E$4,'Lookup Tables'!$L$46:$AA$58,MATCH($H$259,'Lookup Tables'!$L$46:$X$46),FALSE)</f>
        <v>12</v>
      </c>
      <c r="I305" s="12"/>
      <c r="J305" s="12"/>
      <c r="K305" s="12"/>
      <c r="L305" s="12"/>
      <c r="M305" s="12"/>
      <c r="N305" s="12"/>
      <c r="O305" s="155"/>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227"/>
      <c r="BL305" s="224"/>
      <c r="BM305" s="278" t="s">
        <v>185</v>
      </c>
      <c r="BN305" s="285">
        <f>(BN261+BN277+BN295)*BI303</f>
        <v>0</v>
      </c>
      <c r="BO305" s="373">
        <f>BN303+BN304+BN305+BO302</f>
        <v>0</v>
      </c>
    </row>
    <row r="306" spans="1:67" ht="15.75" thickBot="1" x14ac:dyDescent="0.3">
      <c r="A306" s="148"/>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49"/>
      <c r="AL306" s="149"/>
      <c r="AM306" s="149"/>
      <c r="AN306" s="149"/>
      <c r="AO306" s="149"/>
      <c r="AP306" s="149"/>
      <c r="AQ306" s="149"/>
      <c r="AR306" s="149"/>
      <c r="AS306" s="149"/>
      <c r="AT306" s="149"/>
      <c r="AU306" s="149"/>
      <c r="AV306" s="149"/>
      <c r="AW306" s="149"/>
      <c r="AX306" s="149"/>
      <c r="AY306" s="149"/>
      <c r="AZ306" s="149"/>
      <c r="BA306" s="149"/>
      <c r="BB306" s="149"/>
      <c r="BC306" s="149"/>
      <c r="BD306" s="149"/>
      <c r="BE306" s="149"/>
      <c r="BF306" s="149"/>
      <c r="BG306" s="149"/>
      <c r="BH306" s="149"/>
      <c r="BI306" s="149"/>
      <c r="BJ306" s="149"/>
      <c r="BK306" s="280"/>
      <c r="BL306" s="149"/>
      <c r="BM306" s="149"/>
      <c r="BN306" s="281"/>
      <c r="BO306" s="374"/>
    </row>
    <row r="307" spans="1:67" x14ac:dyDescent="0.25">
      <c r="A307" s="257" t="s">
        <v>196</v>
      </c>
      <c r="B307" s="359" t="str">
        <f>Personnel!C82</f>
        <v>12 Month</v>
      </c>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4"/>
      <c r="AY307" s="144"/>
      <c r="AZ307" s="144"/>
      <c r="BA307" s="144"/>
      <c r="BB307" s="144"/>
      <c r="BC307" s="144"/>
      <c r="BD307" s="144"/>
      <c r="BE307" s="144"/>
      <c r="BF307" s="144"/>
      <c r="BG307" s="144"/>
      <c r="BH307" s="144"/>
      <c r="BI307" s="144"/>
      <c r="BJ307" s="144"/>
      <c r="BK307" s="282"/>
      <c r="BL307" s="144"/>
      <c r="BM307" s="144"/>
      <c r="BN307" s="283"/>
      <c r="BO307" s="12"/>
    </row>
    <row r="308" spans="1:67" ht="26.25" x14ac:dyDescent="0.25">
      <c r="A308" s="258" t="s">
        <v>174</v>
      </c>
      <c r="B308" s="155"/>
      <c r="C308" s="259" t="s">
        <v>605</v>
      </c>
      <c r="D308" s="12"/>
      <c r="E308" s="12"/>
      <c r="F308" s="12"/>
      <c r="G308" s="12" t="s">
        <v>182</v>
      </c>
      <c r="H308" s="12"/>
      <c r="I308" s="12"/>
      <c r="J308" s="12"/>
      <c r="K308" s="12"/>
      <c r="L308" s="12"/>
      <c r="M308" s="12" t="s">
        <v>167</v>
      </c>
      <c r="N308" s="12"/>
      <c r="O308" s="12">
        <v>21</v>
      </c>
      <c r="P308" s="12"/>
      <c r="Q308" s="12"/>
      <c r="R308" s="12"/>
      <c r="S308" s="12"/>
      <c r="T308" s="12"/>
      <c r="U308" s="12"/>
      <c r="V308" s="12"/>
      <c r="W308" s="12"/>
      <c r="X308" s="12"/>
      <c r="Y308" s="12" t="s">
        <v>168</v>
      </c>
      <c r="Z308" s="12"/>
      <c r="AA308" s="12">
        <v>22</v>
      </c>
      <c r="AB308" s="12"/>
      <c r="AC308" s="12"/>
      <c r="AD308" s="12"/>
      <c r="AE308" s="12"/>
      <c r="AF308" s="12"/>
      <c r="AG308" s="12"/>
      <c r="AH308" s="12"/>
      <c r="AI308" s="12"/>
      <c r="AJ308" s="12" t="s">
        <v>169</v>
      </c>
      <c r="AK308" s="12"/>
      <c r="AL308" s="12">
        <v>23</v>
      </c>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227"/>
      <c r="BL308" s="12"/>
      <c r="BM308" s="12"/>
      <c r="BN308" s="275"/>
      <c r="BO308" s="12"/>
    </row>
    <row r="309" spans="1:67" x14ac:dyDescent="0.25">
      <c r="A309" s="356">
        <f>Personnel!C83</f>
        <v>0</v>
      </c>
      <c r="B309" s="357">
        <f>Personnel!C84</f>
        <v>0</v>
      </c>
      <c r="C309" s="115">
        <f>(B309*9)*2</f>
        <v>0</v>
      </c>
      <c r="D309" s="12"/>
      <c r="E309" s="12"/>
      <c r="F309" s="12"/>
      <c r="G309" s="12"/>
      <c r="H309" s="12"/>
      <c r="I309" s="12"/>
      <c r="J309" s="12"/>
      <c r="K309" s="12"/>
      <c r="L309" s="12"/>
      <c r="M309" s="12"/>
      <c r="N309" s="12"/>
      <c r="O309" s="12">
        <v>22</v>
      </c>
      <c r="P309" s="12"/>
      <c r="Q309" s="12"/>
      <c r="R309" s="12"/>
      <c r="S309" s="12"/>
      <c r="T309" s="12"/>
      <c r="U309" s="12"/>
      <c r="V309" s="12"/>
      <c r="W309" s="12"/>
      <c r="X309" s="12"/>
      <c r="Y309" s="12"/>
      <c r="Z309" s="12"/>
      <c r="AA309" s="12">
        <v>23</v>
      </c>
      <c r="AB309" s="12"/>
      <c r="AC309" s="12"/>
      <c r="AD309" s="12"/>
      <c r="AE309" s="12"/>
      <c r="AF309" s="12"/>
      <c r="AG309" s="12"/>
      <c r="AH309" s="12"/>
      <c r="AI309" s="12"/>
      <c r="AJ309" s="12"/>
      <c r="AK309" s="12"/>
      <c r="AL309" s="12">
        <v>24</v>
      </c>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306" t="s">
        <v>412</v>
      </c>
      <c r="BL309" s="348">
        <f>Personnel!W83</f>
        <v>0</v>
      </c>
      <c r="BM309" s="276" t="s">
        <v>414</v>
      </c>
      <c r="BN309" s="285">
        <f>(N311+Z311+AK311+AV311+N313+BG311+Z313+AK313+AV313+BG313+N315+Z315+AK315+AV315+BG315+N317+Z317+AK317+AV317+BG317)*BI311</f>
        <v>0</v>
      </c>
      <c r="BO309" s="15"/>
    </row>
    <row r="310" spans="1:67" x14ac:dyDescent="0.25">
      <c r="A310" s="145"/>
      <c r="B310" s="12"/>
      <c r="C310" s="117" t="s">
        <v>30</v>
      </c>
      <c r="D310" s="12"/>
      <c r="E310" s="13" t="s">
        <v>16</v>
      </c>
      <c r="F310" s="13" t="s">
        <v>42</v>
      </c>
      <c r="G310" s="13" t="s">
        <v>41</v>
      </c>
      <c r="H310" s="65" t="s">
        <v>77</v>
      </c>
      <c r="I310" s="64" t="s">
        <v>90</v>
      </c>
      <c r="J310" s="63" t="s">
        <v>70</v>
      </c>
      <c r="K310" s="52" t="s">
        <v>93</v>
      </c>
      <c r="L310" s="13" t="s">
        <v>35</v>
      </c>
      <c r="M310" s="13" t="s">
        <v>82</v>
      </c>
      <c r="N310" s="13" t="s">
        <v>31</v>
      </c>
      <c r="O310" s="14" t="s">
        <v>69</v>
      </c>
      <c r="P310" s="13" t="s">
        <v>72</v>
      </c>
      <c r="Q310" s="65" t="s">
        <v>80</v>
      </c>
      <c r="R310" s="62" t="s">
        <v>81</v>
      </c>
      <c r="S310" s="65" t="s">
        <v>77</v>
      </c>
      <c r="T310" s="600" t="s">
        <v>83</v>
      </c>
      <c r="U310" s="63" t="s">
        <v>70</v>
      </c>
      <c r="V310" s="13" t="s">
        <v>91</v>
      </c>
      <c r="W310" s="13" t="s">
        <v>43</v>
      </c>
      <c r="X310" s="13" t="s">
        <v>53</v>
      </c>
      <c r="Y310" s="13" t="s">
        <v>68</v>
      </c>
      <c r="Z310" s="13" t="s">
        <v>32</v>
      </c>
      <c r="AA310" s="14" t="s">
        <v>69</v>
      </c>
      <c r="AB310" s="13" t="s">
        <v>72</v>
      </c>
      <c r="AC310" s="13" t="s">
        <v>80</v>
      </c>
      <c r="AD310" s="62" t="s">
        <v>81</v>
      </c>
      <c r="AE310" s="65" t="s">
        <v>77</v>
      </c>
      <c r="AF310" s="63" t="s">
        <v>70</v>
      </c>
      <c r="AG310" s="13" t="s">
        <v>92</v>
      </c>
      <c r="AH310" s="13" t="s">
        <v>44</v>
      </c>
      <c r="AI310" s="13" t="s">
        <v>78</v>
      </c>
      <c r="AJ310" s="13" t="s">
        <v>68</v>
      </c>
      <c r="AK310" s="13" t="s">
        <v>33</v>
      </c>
      <c r="AL310" s="14" t="s">
        <v>69</v>
      </c>
      <c r="AM310" s="13" t="s">
        <v>72</v>
      </c>
      <c r="AN310" s="13" t="s">
        <v>80</v>
      </c>
      <c r="AO310" s="62" t="s">
        <v>81</v>
      </c>
      <c r="AP310" s="65" t="s">
        <v>77</v>
      </c>
      <c r="AQ310" s="63" t="s">
        <v>70</v>
      </c>
      <c r="AR310" s="13" t="s">
        <v>92</v>
      </c>
      <c r="AS310" s="13" t="s">
        <v>44</v>
      </c>
      <c r="AT310" s="13" t="s">
        <v>78</v>
      </c>
      <c r="AU310" s="13" t="s">
        <v>68</v>
      </c>
      <c r="AV310" s="13" t="s">
        <v>33</v>
      </c>
      <c r="AW310" s="14" t="s">
        <v>69</v>
      </c>
      <c r="AX310" s="13" t="s">
        <v>72</v>
      </c>
      <c r="AY310" s="13" t="s">
        <v>80</v>
      </c>
      <c r="AZ310" s="62" t="s">
        <v>81</v>
      </c>
      <c r="BA310" s="65" t="s">
        <v>77</v>
      </c>
      <c r="BB310" s="63" t="s">
        <v>70</v>
      </c>
      <c r="BC310" s="13" t="s">
        <v>92</v>
      </c>
      <c r="BD310" s="13" t="s">
        <v>44</v>
      </c>
      <c r="BE310" s="13" t="s">
        <v>78</v>
      </c>
      <c r="BF310" s="13" t="s">
        <v>68</v>
      </c>
      <c r="BG310" s="13" t="s">
        <v>33</v>
      </c>
      <c r="BH310" s="14" t="s">
        <v>69</v>
      </c>
      <c r="BI310" s="13" t="s">
        <v>159</v>
      </c>
      <c r="BJ310" s="12"/>
      <c r="BK310" s="227"/>
      <c r="BL310" s="349"/>
      <c r="BM310" s="227"/>
      <c r="BN310" s="285"/>
      <c r="BO310" s="15"/>
    </row>
    <row r="311" spans="1:67" x14ac:dyDescent="0.25">
      <c r="A311" s="145"/>
      <c r="B311" s="12"/>
      <c r="C311" s="115"/>
      <c r="D311" s="12"/>
      <c r="E311" s="118">
        <f>BL309</f>
        <v>0</v>
      </c>
      <c r="F311" s="19">
        <f>IF($D$4=2022,1,0)</f>
        <v>0</v>
      </c>
      <c r="G311" s="178">
        <f>IF($B355="Yes",$C$5,$I354)</f>
        <v>12</v>
      </c>
      <c r="H311" s="36">
        <f>VLOOKUP(H353,'Lookup Tables'!$A$22:$B$33,2,FALSE)</f>
        <v>3</v>
      </c>
      <c r="I311" s="192">
        <f>VLOOKUP($E$4,'Lookup Tables'!$AB$46:$AN$58,MATCH($H311,'Lookup Tables'!$AB$46:$AN$46),FALSE)</f>
        <v>12</v>
      </c>
      <c r="J311" s="33">
        <f>VLOOKUP(H311,'Lookup Tables'!$A$3:$AA$16,MATCH(PersonCalcYr3!$G311,'Lookup Tables'!$A$3:$AA$3),FALSE)</f>
        <v>1.5161</v>
      </c>
      <c r="K311" s="54">
        <f>VLOOKUP($H353,'Lookup Tables'!$K$23:$L$34,2,FALSE)</f>
        <v>0</v>
      </c>
      <c r="L311" s="12">
        <f>IF(G311&lt;=K311,G311,K311)</f>
        <v>0</v>
      </c>
      <c r="M311" s="195">
        <f>IF(12-I311&gt;=1,1,0)</f>
        <v>0</v>
      </c>
      <c r="N311" s="15">
        <f>(('Rate Tables'!B81*PersonCalcYr3!E311)*PersonCalcYr3!L311)*PersonCalcYr3!F311*M311</f>
        <v>0</v>
      </c>
      <c r="O311" s="28">
        <f>G311-((J311+L311)*M311)</f>
        <v>12</v>
      </c>
      <c r="P311" s="8">
        <f>IF(O311&lt;0,O311*0,1)*O311</f>
        <v>12</v>
      </c>
      <c r="Q311" s="120">
        <f>VLOOKUP($H353,'Lookup Tables'!$A$22:$B$33,2,FALSE)+(L311*M311)+(J311*M311)</f>
        <v>3</v>
      </c>
      <c r="R311" s="121" t="str">
        <f>VLOOKUP(Q311,'Lookup Tables'!$A$38:$B$151,2,FALSE)</f>
        <v>Sept</v>
      </c>
      <c r="S311" s="36">
        <f>VLOOKUP(R311,'Lookup Tables'!$A$22:$B$33,2,FALSE)</f>
        <v>3</v>
      </c>
      <c r="T311" s="599">
        <f>VLOOKUP($E$4,'Lookup Tables'!$AB$63:$AN$75,MATCH(PersonCalcYr3!$S311,'Lookup Tables'!$AB$63:$AN$63),FALSE)</f>
        <v>0.5161</v>
      </c>
      <c r="U311" s="34">
        <f>VLOOKUP(S311,'Lookup Tables'!$A$3:$AA$16,MATCH(PersonCalcYr3!$P311,'Lookup Tables'!$A$3:$AA$3),FALSE)</f>
        <v>1.5161</v>
      </c>
      <c r="V311" s="12">
        <f>9-T311</f>
        <v>8.4839000000000002</v>
      </c>
      <c r="W311" s="122">
        <f>P311-U311</f>
        <v>10.4839</v>
      </c>
      <c r="X311" s="119">
        <f>IF(V311&lt;=W311,V311,W311)</f>
        <v>8.4839000000000002</v>
      </c>
      <c r="Y311" s="195">
        <f>IF(12-T311-U311-X311&gt;=0,1,0)</f>
        <v>1</v>
      </c>
      <c r="Z311" s="20">
        <f>((('Rate Tables'!C81*$E311)*PersonCalcYr3!$X311)*$F311)*Y311</f>
        <v>0</v>
      </c>
      <c r="AA311" s="197">
        <f>O311-(((U311*U319)+X311)*Y311)</f>
        <v>2</v>
      </c>
      <c r="AB311" s="8">
        <f>IF(AA311&lt;0,AA311*0,1)*AA311</f>
        <v>2</v>
      </c>
      <c r="AC311" s="601">
        <f>S311+(X311*Y311)+((U311*U319)*Y311)</f>
        <v>13</v>
      </c>
      <c r="AD311" s="121" t="str">
        <f>VLOOKUP(AC311,'Lookup Tables'!$A$38:$B$151,2,FALSE)</f>
        <v>July</v>
      </c>
      <c r="AE311" s="36">
        <f>VLOOKUP(AD311,'Lookup Tables'!$A$22:$B$33,2,FALSE)</f>
        <v>1</v>
      </c>
      <c r="AF311" s="34">
        <f>VLOOKUP(AE311,'Lookup Tables'!$A$3:$AA$16,MATCH(PersonCalcYr3!AB311,'Lookup Tables'!$A$3:$AA$3),FALSE)</f>
        <v>1.4839</v>
      </c>
      <c r="AG311" s="12">
        <v>9</v>
      </c>
      <c r="AH311" s="122">
        <f>AB311-AF311</f>
        <v>0.5161</v>
      </c>
      <c r="AI311" s="119">
        <f>IF(AG311&lt;=AH311,AG311,AH311)</f>
        <v>0.5161</v>
      </c>
      <c r="AJ311" s="119">
        <f>IF((AG311+AF311)&lt;=0,0,1)</f>
        <v>1</v>
      </c>
      <c r="AK311" s="124">
        <f>((('Rate Tables'!D81*$E311)*PersonCalcYr3!AI311)*$F311)*AJ311</f>
        <v>0</v>
      </c>
      <c r="AL311" s="28">
        <f>AB311-AF311-AI311</f>
        <v>0</v>
      </c>
      <c r="AM311" s="8">
        <f>IF(AL311&lt;0,AL311*0,1)*AL311</f>
        <v>0</v>
      </c>
      <c r="AN311" s="601">
        <f>AE311+(AI311*AJ311)+((AF311*AF319)*AJ311)</f>
        <v>3</v>
      </c>
      <c r="AO311" s="121" t="str">
        <f>VLOOKUP(AN311,'Lookup Tables'!$A$38:$B$151,2,FALSE)</f>
        <v>Sept</v>
      </c>
      <c r="AP311" s="36">
        <f>VLOOKUP(AO311,'Lookup Tables'!$A$22:$B$33,2,FALSE)</f>
        <v>3</v>
      </c>
      <c r="AQ311" s="34">
        <f>VLOOKUP(AP311,'Lookup Tables'!$A$3:$AA$16,MATCH(PersonCalcYr3!AM311,'Lookup Tables'!$A$3:$AA$3),FALSE)</f>
        <v>0</v>
      </c>
      <c r="AR311" s="12">
        <v>9</v>
      </c>
      <c r="AS311" s="122">
        <f>AM311-AQ311</f>
        <v>0</v>
      </c>
      <c r="AT311" s="119">
        <f>IF(AR311&lt;=AS311,AR311,AS311)</f>
        <v>0</v>
      </c>
      <c r="AU311" s="119">
        <f>IF((AR311+AQ311)&lt;=0,0,1)</f>
        <v>1</v>
      </c>
      <c r="AV311" s="124">
        <f>((('Rate Tables'!E81*$E311)*PersonCalcYr3!AT311)*$F311)*AU311</f>
        <v>0</v>
      </c>
      <c r="AW311" s="28">
        <f>AM311-AQ311-AT311</f>
        <v>0</v>
      </c>
      <c r="AX311" s="8">
        <f>IF(AW311&lt;0,AW311*0,1)*AW311</f>
        <v>0</v>
      </c>
      <c r="AY311" s="601">
        <f>AP311+(AT311*AU311)+((AQ311*AQ319)*AU311)</f>
        <v>3</v>
      </c>
      <c r="AZ311" s="121" t="str">
        <f>VLOOKUP(AY311,'Lookup Tables'!$A$38:$B$151,2,FALSE)</f>
        <v>Sept</v>
      </c>
      <c r="BA311" s="36">
        <f>VLOOKUP(AZ311,'Lookup Tables'!$A$22:$B$33,2,FALSE)</f>
        <v>3</v>
      </c>
      <c r="BB311" s="34">
        <f>VLOOKUP(BA311,'Lookup Tables'!$A$3:$AA$16,MATCH(PersonCalcYr3!AX311,'Lookup Tables'!$A$3:$AA$3),FALSE)</f>
        <v>0</v>
      </c>
      <c r="BC311" s="12">
        <v>9</v>
      </c>
      <c r="BD311" s="122">
        <f>AX311-BB311</f>
        <v>0</v>
      </c>
      <c r="BE311" s="119">
        <f>IF(BC311&lt;=BD311,BC311,BD311)</f>
        <v>0</v>
      </c>
      <c r="BF311" s="119">
        <f>IF((BC311+BB311)&lt;=0,0,1)</f>
        <v>1</v>
      </c>
      <c r="BG311" s="124">
        <f>((('Rate Tables'!F81*$E311)*PersonCalcYr3!BE311)*$F311)*BF311</f>
        <v>0</v>
      </c>
      <c r="BH311" s="28">
        <f>AX311-BB311-BE311</f>
        <v>0</v>
      </c>
      <c r="BI311" s="19">
        <f>VLOOKUP(B307,'Lookup Tables'!$AK$22:$AM$24,2,0)</f>
        <v>0</v>
      </c>
      <c r="BJ311" s="12"/>
      <c r="BK311" s="227"/>
      <c r="BL311" s="350"/>
      <c r="BM311" s="276" t="s">
        <v>184</v>
      </c>
      <c r="BN311" s="285">
        <f>BN309*'Rate Tables'!P$8</f>
        <v>0</v>
      </c>
      <c r="BO311" s="15"/>
    </row>
    <row r="312" spans="1:67" x14ac:dyDescent="0.25">
      <c r="A312" s="145"/>
      <c r="B312" s="12"/>
      <c r="C312" s="117" t="s">
        <v>597</v>
      </c>
      <c r="D312" s="12"/>
      <c r="E312" s="13" t="s">
        <v>16</v>
      </c>
      <c r="F312" s="13" t="s">
        <v>42</v>
      </c>
      <c r="G312" s="13" t="s">
        <v>41</v>
      </c>
      <c r="H312" s="65" t="s">
        <v>77</v>
      </c>
      <c r="I312" s="64" t="s">
        <v>90</v>
      </c>
      <c r="J312" s="63" t="s">
        <v>70</v>
      </c>
      <c r="K312" s="52" t="s">
        <v>109</v>
      </c>
      <c r="L312" s="13" t="s">
        <v>53</v>
      </c>
      <c r="M312" s="13" t="s">
        <v>82</v>
      </c>
      <c r="N312" s="13" t="s">
        <v>32</v>
      </c>
      <c r="O312" s="14" t="s">
        <v>69</v>
      </c>
      <c r="P312" s="13" t="s">
        <v>72</v>
      </c>
      <c r="Q312" s="65" t="s">
        <v>80</v>
      </c>
      <c r="R312" s="62" t="s">
        <v>81</v>
      </c>
      <c r="S312" s="65" t="s">
        <v>77</v>
      </c>
      <c r="T312" s="600" t="s">
        <v>83</v>
      </c>
      <c r="U312" s="63" t="s">
        <v>70</v>
      </c>
      <c r="V312" s="13" t="s">
        <v>92</v>
      </c>
      <c r="W312" s="13" t="s">
        <v>44</v>
      </c>
      <c r="X312" s="13" t="s">
        <v>78</v>
      </c>
      <c r="Y312" s="13" t="s">
        <v>68</v>
      </c>
      <c r="Z312" s="13" t="s">
        <v>33</v>
      </c>
      <c r="AA312" s="14" t="s">
        <v>69</v>
      </c>
      <c r="AB312" s="13" t="s">
        <v>72</v>
      </c>
      <c r="AC312" s="13" t="s">
        <v>80</v>
      </c>
      <c r="AD312" s="62" t="s">
        <v>81</v>
      </c>
      <c r="AE312" s="65" t="s">
        <v>77</v>
      </c>
      <c r="AF312" s="63" t="s">
        <v>70</v>
      </c>
      <c r="AG312" s="13" t="s">
        <v>94</v>
      </c>
      <c r="AH312" s="13" t="s">
        <v>45</v>
      </c>
      <c r="AI312" s="13" t="s">
        <v>79</v>
      </c>
      <c r="AJ312" s="13" t="s">
        <v>68</v>
      </c>
      <c r="AK312" s="13" t="s">
        <v>34</v>
      </c>
      <c r="AL312" s="14" t="s">
        <v>69</v>
      </c>
      <c r="AM312" s="13" t="s">
        <v>72</v>
      </c>
      <c r="AN312" s="13" t="s">
        <v>80</v>
      </c>
      <c r="AO312" s="62" t="s">
        <v>81</v>
      </c>
      <c r="AP312" s="65" t="s">
        <v>77</v>
      </c>
      <c r="AQ312" s="63" t="s">
        <v>70</v>
      </c>
      <c r="AR312" s="13" t="s">
        <v>94</v>
      </c>
      <c r="AS312" s="13" t="s">
        <v>45</v>
      </c>
      <c r="AT312" s="13" t="s">
        <v>79</v>
      </c>
      <c r="AU312" s="13" t="s">
        <v>68</v>
      </c>
      <c r="AV312" s="13" t="s">
        <v>34</v>
      </c>
      <c r="AW312" s="14" t="s">
        <v>69</v>
      </c>
      <c r="AX312" s="13" t="s">
        <v>72</v>
      </c>
      <c r="AY312" s="13" t="s">
        <v>80</v>
      </c>
      <c r="AZ312" s="62" t="s">
        <v>81</v>
      </c>
      <c r="BA312" s="65" t="s">
        <v>77</v>
      </c>
      <c r="BB312" s="63" t="s">
        <v>70</v>
      </c>
      <c r="BC312" s="13" t="s">
        <v>94</v>
      </c>
      <c r="BD312" s="13" t="s">
        <v>45</v>
      </c>
      <c r="BE312" s="13" t="s">
        <v>79</v>
      </c>
      <c r="BF312" s="13" t="s">
        <v>68</v>
      </c>
      <c r="BG312" s="13" t="s">
        <v>34</v>
      </c>
      <c r="BH312" s="14" t="s">
        <v>69</v>
      </c>
      <c r="BI312" s="13"/>
      <c r="BJ312" s="12"/>
      <c r="BK312" s="227"/>
      <c r="BL312" s="351"/>
      <c r="BM312" s="227"/>
      <c r="BN312" s="285"/>
      <c r="BO312" s="15"/>
    </row>
    <row r="313" spans="1:67" x14ac:dyDescent="0.25">
      <c r="A313" s="145"/>
      <c r="B313" s="12"/>
      <c r="C313" s="115"/>
      <c r="D313" s="12"/>
      <c r="E313" s="118">
        <f>BL309</f>
        <v>0</v>
      </c>
      <c r="F313" s="19">
        <f>IF($D$4=2023,1,0)</f>
        <v>0</v>
      </c>
      <c r="G313" s="178">
        <f>IF($B355="Yes",$C$5,$I354)</f>
        <v>12</v>
      </c>
      <c r="H313" s="36">
        <f>VLOOKUP(H353,'Lookup Tables'!$A$22:$B$33,2,FALSE)</f>
        <v>3</v>
      </c>
      <c r="I313" s="192">
        <f>VLOOKUP($E$4,'Lookup Tables'!$AB$46:$AN$58,MATCH($H313,'Lookup Tables'!$AB$46:$AN$46),FALSE)</f>
        <v>12</v>
      </c>
      <c r="J313" s="33">
        <f>VLOOKUP(H313,'Lookup Tables'!$A$3:$AA$16,MATCH(PersonCalcYr3!$G313,'Lookup Tables'!$A$3:$AA$3),FALSE)</f>
        <v>1.5161</v>
      </c>
      <c r="K313" s="54">
        <f>VLOOKUP($H353,'Lookup Tables'!$K$23:$L$34,2,FALSE)</f>
        <v>0</v>
      </c>
      <c r="L313" s="12">
        <f>IF(G313&lt;=K313,G313,K313)</f>
        <v>0</v>
      </c>
      <c r="M313" s="195">
        <f>IF(12-I313&gt;=1,1,0)</f>
        <v>0</v>
      </c>
      <c r="N313" s="15">
        <f>(('Rate Tables'!C81*PersonCalcYr3!E313)*PersonCalcYr3!L313)*PersonCalcYr3!F313*M313</f>
        <v>0</v>
      </c>
      <c r="O313" s="28">
        <f>G313-((J313+L313)*M313)</f>
        <v>12</v>
      </c>
      <c r="P313" s="8">
        <f>IF(O313&lt;0,O313*0,1)*O313</f>
        <v>12</v>
      </c>
      <c r="Q313" s="120">
        <f>VLOOKUP($H353,'Lookup Tables'!$A$22:$B$33,2,FALSE)+(L313*M313)+(J313*M313)</f>
        <v>3</v>
      </c>
      <c r="R313" s="121" t="str">
        <f>VLOOKUP(Q313,'Lookup Tables'!$A$38:$B$151,2,FALSE)</f>
        <v>Sept</v>
      </c>
      <c r="S313" s="36">
        <f>VLOOKUP(R313,'Lookup Tables'!$A$22:$B$33,2,FALSE)</f>
        <v>3</v>
      </c>
      <c r="T313" s="599">
        <f>VLOOKUP($E$4,'Lookup Tables'!$AB$63:$AN$75,MATCH(PersonCalcYr3!$S313,'Lookup Tables'!$AB$63:$AN$63),FALSE)</f>
        <v>0.5161</v>
      </c>
      <c r="U313" s="34">
        <f>VLOOKUP(S313,'Lookup Tables'!$A$3:$AA$16,MATCH(PersonCalcYr3!$P313,'Lookup Tables'!$A$3:$AA$3),FALSE)</f>
        <v>1.5161</v>
      </c>
      <c r="V313" s="12">
        <f>9-T313</f>
        <v>8.4839000000000002</v>
      </c>
      <c r="W313" s="122">
        <f>P313-U313</f>
        <v>10.4839</v>
      </c>
      <c r="X313" s="119">
        <f>IF(V313&lt;=W313,V313,W313)</f>
        <v>8.4839000000000002</v>
      </c>
      <c r="Y313" s="195">
        <f>IF(12-T313-U313-X313&gt;=0,1,0)</f>
        <v>1</v>
      </c>
      <c r="Z313" s="20">
        <f>((('Rate Tables'!D81*$E313)*PersonCalcYr3!$X313)*$F313)*Y313</f>
        <v>0</v>
      </c>
      <c r="AA313" s="197">
        <f>O313-(((U313*U319)+X313)*Y313)</f>
        <v>2</v>
      </c>
      <c r="AB313" s="8">
        <f>IF(AA313&lt;0,AA313*0,1)*AA313</f>
        <v>2</v>
      </c>
      <c r="AC313" s="601">
        <f>S313+(X313*Y313)+((U313*U319)*Y313)</f>
        <v>13</v>
      </c>
      <c r="AD313" s="121" t="str">
        <f>VLOOKUP(AC313,'Lookup Tables'!$A$38:$B$151,2,FALSE)</f>
        <v>July</v>
      </c>
      <c r="AE313" s="36">
        <f>VLOOKUP(AD313,'Lookup Tables'!$A$22:$B$33,2,FALSE)</f>
        <v>1</v>
      </c>
      <c r="AF313" s="34">
        <f>VLOOKUP(AE313,'Lookup Tables'!$A$3:$AA$16,MATCH(PersonCalcYr3!AB313,'Lookup Tables'!$A$3:$AA$3),FALSE)</f>
        <v>1.4839</v>
      </c>
      <c r="AG313" s="12">
        <v>9</v>
      </c>
      <c r="AH313" s="122">
        <f>AB313-AF313</f>
        <v>0.5161</v>
      </c>
      <c r="AI313" s="119">
        <f>IF(AG313&lt;=AH313,AG313,AH313)</f>
        <v>0.5161</v>
      </c>
      <c r="AJ313" s="119">
        <f>IF((AG313+AF313)&lt;=0,0,1)</f>
        <v>1</v>
      </c>
      <c r="AK313" s="124">
        <f>((('Rate Tables'!E81*$E313)*PersonCalcYr3!AI313)*$F313)*AJ313</f>
        <v>0</v>
      </c>
      <c r="AL313" s="28">
        <f>AB313-AF313-AI313</f>
        <v>0</v>
      </c>
      <c r="AM313" s="8">
        <f>IF(AL313&lt;0,AL313*0,1)*AL313</f>
        <v>0</v>
      </c>
      <c r="AN313" s="601">
        <f>AE313+(AI313*AJ313)+((AF313*AF319)*AJ313)</f>
        <v>3</v>
      </c>
      <c r="AO313" s="121" t="str">
        <f>VLOOKUP(AN313,'Lookup Tables'!$A$38:$B$151,2,FALSE)</f>
        <v>Sept</v>
      </c>
      <c r="AP313" s="36">
        <f>VLOOKUP(AO313,'Lookup Tables'!$A$22:$B$33,2,FALSE)</f>
        <v>3</v>
      </c>
      <c r="AQ313" s="34">
        <f>VLOOKUP(AP313,'Lookup Tables'!$A$3:$AA$16,MATCH(PersonCalcYr3!AM313,'Lookup Tables'!$A$3:$AA$3),FALSE)</f>
        <v>0</v>
      </c>
      <c r="AR313" s="12">
        <v>9</v>
      </c>
      <c r="AS313" s="122">
        <f>AM313-AQ313</f>
        <v>0</v>
      </c>
      <c r="AT313" s="119">
        <f>IF(AR313&lt;=AS313,AR313,AS313)</f>
        <v>0</v>
      </c>
      <c r="AU313" s="119">
        <f>IF((AR313+AQ313)&lt;=0,0,1)</f>
        <v>1</v>
      </c>
      <c r="AV313" s="124">
        <f>((('Rate Tables'!F81*$E313)*PersonCalcYr3!AT313)*$F313)*AU313</f>
        <v>0</v>
      </c>
      <c r="AW313" s="28">
        <f>AM313-AQ313-AT313</f>
        <v>0</v>
      </c>
      <c r="AX313" s="8">
        <f>IF(AW313&lt;0,AW313*0,1)*AW313</f>
        <v>0</v>
      </c>
      <c r="AY313" s="601">
        <f>AP313+(AT313*AU313)+((AQ313*AQ319)*AU313)</f>
        <v>3</v>
      </c>
      <c r="AZ313" s="121" t="str">
        <f>VLOOKUP(AY313,'Lookup Tables'!$A$38:$B$151,2,FALSE)</f>
        <v>Sept</v>
      </c>
      <c r="BA313" s="36">
        <f>VLOOKUP(AZ313,'Lookup Tables'!$A$22:$B$33,2,FALSE)</f>
        <v>3</v>
      </c>
      <c r="BB313" s="34">
        <f>VLOOKUP(BA313,'Lookup Tables'!$A$3:$AA$16,MATCH(PersonCalcYr3!AX313,'Lookup Tables'!$A$3:$AA$3),FALSE)</f>
        <v>0</v>
      </c>
      <c r="BC313" s="12">
        <v>9</v>
      </c>
      <c r="BD313" s="122">
        <f>AX313-BB313</f>
        <v>0</v>
      </c>
      <c r="BE313" s="119">
        <f>IF(BC313&lt;=BD313,BC313,BD313)</f>
        <v>0</v>
      </c>
      <c r="BF313" s="119">
        <f>IF((BC313+BB313)&lt;=0,0,1)</f>
        <v>1</v>
      </c>
      <c r="BG313" s="124">
        <f>((('Rate Tables'!G81*$E313)*PersonCalcYr3!BE313)*$F313)*BF313</f>
        <v>0</v>
      </c>
      <c r="BH313" s="28">
        <f>AX313-BB313-BE313</f>
        <v>0</v>
      </c>
      <c r="BI313" s="19"/>
      <c r="BJ313" s="12"/>
      <c r="BK313" s="1199" t="s">
        <v>580</v>
      </c>
      <c r="BL313" s="349"/>
      <c r="BM313" s="276" t="s">
        <v>134</v>
      </c>
      <c r="BN313" s="285">
        <f>(((O319+O320+O321+O322+AA319+AA320+AA321+AA322+AL319+AL320+AL321+AL322+AW319+AW320+AW321+AW322+BH319+BH320+BH321+BH322)*BI319)*BN318)*BL320</f>
        <v>0</v>
      </c>
      <c r="BO313" s="15"/>
    </row>
    <row r="314" spans="1:67" x14ac:dyDescent="0.25">
      <c r="A314" s="145"/>
      <c r="B314" s="12"/>
      <c r="C314" s="117" t="s">
        <v>664</v>
      </c>
      <c r="D314" s="12"/>
      <c r="E314" s="13" t="s">
        <v>16</v>
      </c>
      <c r="F314" s="13" t="s">
        <v>42</v>
      </c>
      <c r="G314" s="13" t="s">
        <v>41</v>
      </c>
      <c r="H314" s="65" t="s">
        <v>77</v>
      </c>
      <c r="I314" s="64" t="s">
        <v>90</v>
      </c>
      <c r="J314" s="63" t="s">
        <v>70</v>
      </c>
      <c r="K314" s="52" t="s">
        <v>109</v>
      </c>
      <c r="L314" s="13" t="s">
        <v>53</v>
      </c>
      <c r="M314" s="13" t="s">
        <v>82</v>
      </c>
      <c r="N314" s="13" t="s">
        <v>32</v>
      </c>
      <c r="O314" s="14" t="s">
        <v>69</v>
      </c>
      <c r="P314" s="13" t="s">
        <v>72</v>
      </c>
      <c r="Q314" s="65" t="s">
        <v>80</v>
      </c>
      <c r="R314" s="62" t="s">
        <v>81</v>
      </c>
      <c r="S314" s="65" t="s">
        <v>77</v>
      </c>
      <c r="T314" s="600" t="s">
        <v>83</v>
      </c>
      <c r="U314" s="63" t="s">
        <v>70</v>
      </c>
      <c r="V314" s="13" t="s">
        <v>92</v>
      </c>
      <c r="W314" s="13" t="s">
        <v>44</v>
      </c>
      <c r="X314" s="13" t="s">
        <v>78</v>
      </c>
      <c r="Y314" s="13" t="s">
        <v>68</v>
      </c>
      <c r="Z314" s="13" t="s">
        <v>33</v>
      </c>
      <c r="AA314" s="14" t="s">
        <v>69</v>
      </c>
      <c r="AB314" s="13" t="s">
        <v>72</v>
      </c>
      <c r="AC314" s="13" t="s">
        <v>80</v>
      </c>
      <c r="AD314" s="62" t="s">
        <v>81</v>
      </c>
      <c r="AE314" s="65" t="s">
        <v>77</v>
      </c>
      <c r="AF314" s="63" t="s">
        <v>70</v>
      </c>
      <c r="AG314" s="13" t="s">
        <v>94</v>
      </c>
      <c r="AH314" s="13" t="s">
        <v>45</v>
      </c>
      <c r="AI314" s="13" t="s">
        <v>79</v>
      </c>
      <c r="AJ314" s="13" t="s">
        <v>68</v>
      </c>
      <c r="AK314" s="13" t="s">
        <v>34</v>
      </c>
      <c r="AL314" s="14" t="s">
        <v>69</v>
      </c>
      <c r="AM314" s="13" t="s">
        <v>72</v>
      </c>
      <c r="AN314" s="13" t="s">
        <v>80</v>
      </c>
      <c r="AO314" s="62" t="s">
        <v>81</v>
      </c>
      <c r="AP314" s="65" t="s">
        <v>77</v>
      </c>
      <c r="AQ314" s="63" t="s">
        <v>70</v>
      </c>
      <c r="AR314" s="13" t="s">
        <v>94</v>
      </c>
      <c r="AS314" s="13" t="s">
        <v>45</v>
      </c>
      <c r="AT314" s="13" t="s">
        <v>79</v>
      </c>
      <c r="AU314" s="13" t="s">
        <v>68</v>
      </c>
      <c r="AV314" s="13" t="s">
        <v>34</v>
      </c>
      <c r="AW314" s="14" t="s">
        <v>69</v>
      </c>
      <c r="AX314" s="13" t="s">
        <v>72</v>
      </c>
      <c r="AY314" s="13" t="s">
        <v>80</v>
      </c>
      <c r="AZ314" s="62" t="s">
        <v>81</v>
      </c>
      <c r="BA314" s="65" t="s">
        <v>77</v>
      </c>
      <c r="BB314" s="63" t="s">
        <v>70</v>
      </c>
      <c r="BC314" s="13" t="s">
        <v>94</v>
      </c>
      <c r="BD314" s="13" t="s">
        <v>45</v>
      </c>
      <c r="BE314" s="13" t="s">
        <v>79</v>
      </c>
      <c r="BF314" s="13" t="s">
        <v>68</v>
      </c>
      <c r="BG314" s="13" t="s">
        <v>34</v>
      </c>
      <c r="BH314" s="14" t="s">
        <v>69</v>
      </c>
      <c r="BI314" s="19"/>
      <c r="BJ314" s="12"/>
      <c r="BK314" s="1199"/>
      <c r="BL314" s="349"/>
      <c r="BM314" s="276"/>
      <c r="BN314" s="285"/>
      <c r="BO314" s="15"/>
    </row>
    <row r="315" spans="1:67" x14ac:dyDescent="0.25">
      <c r="A315" s="145"/>
      <c r="B315" s="12"/>
      <c r="C315" s="115"/>
      <c r="D315" s="12"/>
      <c r="E315" s="118">
        <f>BL309</f>
        <v>0</v>
      </c>
      <c r="F315" s="19">
        <f>IF($D$4=2024,1,0)</f>
        <v>1</v>
      </c>
      <c r="G315" s="178">
        <f>IF($B355="Yes",$C$5,$I354)</f>
        <v>12</v>
      </c>
      <c r="H315" s="36">
        <f>VLOOKUP(H353,'Lookup Tables'!$A$22:$B$33,2,FALSE)</f>
        <v>3</v>
      </c>
      <c r="I315" s="192">
        <f>VLOOKUP($E$4,'Lookup Tables'!$AB$46:$AN$58,MATCH($H315,'Lookup Tables'!$AB$46:$AN$46),FALSE)</f>
        <v>12</v>
      </c>
      <c r="J315" s="33">
        <f>VLOOKUP(H315,'Lookup Tables'!$A$3:$AA$16,MATCH(PersonCalcYr3!$G315,'Lookup Tables'!$A$3:$AA$3),FALSE)</f>
        <v>1.5161</v>
      </c>
      <c r="K315" s="54">
        <f>VLOOKUP($H353,'Lookup Tables'!$K$23:$L$34,2,FALSE)</f>
        <v>0</v>
      </c>
      <c r="L315" s="12">
        <f>IF(G315&lt;=K315,G315,K315)</f>
        <v>0</v>
      </c>
      <c r="M315" s="195">
        <f>IF(12-I315&gt;=1,1,0)</f>
        <v>0</v>
      </c>
      <c r="N315" s="15">
        <f>(('Rate Tables'!D81*PersonCalcYr3!E315)*PersonCalcYr3!L315)*PersonCalcYr3!F315*M315</f>
        <v>0</v>
      </c>
      <c r="O315" s="28">
        <f>G315-((J315+L315)*M315)</f>
        <v>12</v>
      </c>
      <c r="P315" s="8">
        <f>IF(O315&lt;0,O315*0,1)*O315</f>
        <v>12</v>
      </c>
      <c r="Q315" s="120">
        <f>VLOOKUP($H353,'Lookup Tables'!$A$22:$B$33,2,FALSE)+(L315*M315)+(J315*M315)</f>
        <v>3</v>
      </c>
      <c r="R315" s="121" t="str">
        <f>VLOOKUP(Q315,'Lookup Tables'!$A$38:$B$151,2,FALSE)</f>
        <v>Sept</v>
      </c>
      <c r="S315" s="36">
        <f>VLOOKUP(R315,'Lookup Tables'!$A$22:$B$33,2,FALSE)</f>
        <v>3</v>
      </c>
      <c r="T315" s="599">
        <f>VLOOKUP($E$4,'Lookup Tables'!$AB$63:$AN$75,MATCH(PersonCalcYr3!$S315,'Lookup Tables'!$AB$63:$AN$63),FALSE)</f>
        <v>0.5161</v>
      </c>
      <c r="U315" s="34">
        <f>VLOOKUP(S315,'Lookup Tables'!$A$3:$AA$16,MATCH(PersonCalcYr3!$P315,'Lookup Tables'!$A$3:$AA$3),FALSE)</f>
        <v>1.5161</v>
      </c>
      <c r="V315" s="12">
        <f>9-T315</f>
        <v>8.4839000000000002</v>
      </c>
      <c r="W315" s="122">
        <f>P315-U315</f>
        <v>10.4839</v>
      </c>
      <c r="X315" s="119">
        <f>IF(V315&lt;=W315,V315,W315)</f>
        <v>8.4839000000000002</v>
      </c>
      <c r="Y315" s="195">
        <f>IF(12-T315-U315-X315&gt;=0,1,0)</f>
        <v>1</v>
      </c>
      <c r="Z315" s="20">
        <f>((('Rate Tables'!E81*$E315)*PersonCalcYr3!$X315)*$F315)*Y315</f>
        <v>0</v>
      </c>
      <c r="AA315" s="197">
        <f>O315-(((U315*U319)+X315)*Y315)</f>
        <v>2</v>
      </c>
      <c r="AB315" s="8">
        <f>IF(AA315&lt;0,AA315*0,1)*AA315</f>
        <v>2</v>
      </c>
      <c r="AC315" s="601">
        <f>S315+(X315*Y315)+((U315*U319)*Y315)</f>
        <v>13</v>
      </c>
      <c r="AD315" s="121" t="str">
        <f>VLOOKUP(AC315,'Lookup Tables'!$A$38:$B$151,2,FALSE)</f>
        <v>July</v>
      </c>
      <c r="AE315" s="36">
        <f>VLOOKUP(AD315,'Lookup Tables'!$A$22:$B$33,2,FALSE)</f>
        <v>1</v>
      </c>
      <c r="AF315" s="34">
        <f>VLOOKUP(AE315,'Lookup Tables'!$A$3:$AA$16,MATCH(PersonCalcYr3!AB315,'Lookup Tables'!$A$3:$AA$3),FALSE)</f>
        <v>1.4839</v>
      </c>
      <c r="AG315" s="12">
        <v>9</v>
      </c>
      <c r="AH315" s="122">
        <f>AB315-AF315</f>
        <v>0.5161</v>
      </c>
      <c r="AI315" s="119">
        <f>IF(AG315&lt;=AH315,AG315,AH315)</f>
        <v>0.5161</v>
      </c>
      <c r="AJ315" s="119">
        <f>IF((AG315+AF315)&lt;=0,0,1)</f>
        <v>1</v>
      </c>
      <c r="AK315" s="124">
        <f>((('Rate Tables'!F81*$E315)*PersonCalcYr3!AI315)*$F315)*AJ315</f>
        <v>0</v>
      </c>
      <c r="AL315" s="28">
        <f>AB315-AF315-AI315</f>
        <v>0</v>
      </c>
      <c r="AM315" s="8">
        <f>IF(AL315&lt;0,AL315*0,1)*AL315</f>
        <v>0</v>
      </c>
      <c r="AN315" s="601">
        <f>AE315+(AI315*AJ315)+((AF315*AF319)*AJ315)</f>
        <v>3</v>
      </c>
      <c r="AO315" s="121" t="str">
        <f>VLOOKUP(AN315,'Lookup Tables'!$A$38:$B$151,2,FALSE)</f>
        <v>Sept</v>
      </c>
      <c r="AP315" s="36">
        <f>VLOOKUP(AO315,'Lookup Tables'!$A$22:$B$33,2,FALSE)</f>
        <v>3</v>
      </c>
      <c r="AQ315" s="34">
        <f>VLOOKUP(AP315,'Lookup Tables'!$A$3:$AA$16,MATCH(PersonCalcYr3!AM315,'Lookup Tables'!$A$3:$AA$3),FALSE)</f>
        <v>0</v>
      </c>
      <c r="AR315" s="12">
        <v>9</v>
      </c>
      <c r="AS315" s="122">
        <f>AM315-AQ315</f>
        <v>0</v>
      </c>
      <c r="AT315" s="119">
        <f>IF(AR315&lt;=AS315,AR315,AS315)</f>
        <v>0</v>
      </c>
      <c r="AU315" s="119">
        <f>IF((AR315+AQ315)&lt;=0,0,1)</f>
        <v>1</v>
      </c>
      <c r="AV315" s="124">
        <f>((('Rate Tables'!G81*$E315)*PersonCalcYr3!AT315)*$F315)*AU315</f>
        <v>0</v>
      </c>
      <c r="AW315" s="28">
        <f>AM315-AQ315-AT315</f>
        <v>0</v>
      </c>
      <c r="AX315" s="8">
        <f>IF(AW315&lt;0,AW315*0,1)*AW315</f>
        <v>0</v>
      </c>
      <c r="AY315" s="601">
        <f>AP315+(AT315*AU315)+((AQ315*AQ319)*AU315)</f>
        <v>3</v>
      </c>
      <c r="AZ315" s="121" t="str">
        <f>VLOOKUP(AY315,'Lookup Tables'!$A$38:$B$151,2,FALSE)</f>
        <v>Sept</v>
      </c>
      <c r="BA315" s="36">
        <f>VLOOKUP(AZ315,'Lookup Tables'!$A$22:$B$33,2,FALSE)</f>
        <v>3</v>
      </c>
      <c r="BB315" s="34">
        <f>VLOOKUP(BA315,'Lookup Tables'!$A$3:$AA$16,MATCH(PersonCalcYr3!AX315,'Lookup Tables'!$A$3:$AA$3),FALSE)</f>
        <v>0</v>
      </c>
      <c r="BC315" s="12">
        <v>9</v>
      </c>
      <c r="BD315" s="122">
        <f>AX315-BB315</f>
        <v>0</v>
      </c>
      <c r="BE315" s="119">
        <f>IF(BC315&lt;=BD315,BC315,BD315)</f>
        <v>0</v>
      </c>
      <c r="BF315" s="119">
        <f>IF((BC315+BB315)&lt;=0,0,1)</f>
        <v>1</v>
      </c>
      <c r="BG315" s="124">
        <f>((('Rate Tables'!H81*$E315)*PersonCalcYr3!BE315)*$F315)*BF315</f>
        <v>0</v>
      </c>
      <c r="BH315" s="28">
        <f>AX315-BB315-BE315</f>
        <v>0</v>
      </c>
      <c r="BI315" s="19"/>
      <c r="BJ315" s="12"/>
      <c r="BK315" s="1199"/>
      <c r="BL315" s="349" t="s">
        <v>643</v>
      </c>
      <c r="BM315" s="276"/>
      <c r="BN315" s="285"/>
      <c r="BO315" s="15"/>
    </row>
    <row r="316" spans="1:67" x14ac:dyDescent="0.25">
      <c r="A316" s="145"/>
      <c r="B316" s="12"/>
      <c r="C316" s="819" t="s">
        <v>732</v>
      </c>
      <c r="D316" s="12"/>
      <c r="E316" s="13" t="s">
        <v>16</v>
      </c>
      <c r="F316" s="13" t="s">
        <v>42</v>
      </c>
      <c r="G316" s="13" t="s">
        <v>41</v>
      </c>
      <c r="H316" s="65" t="s">
        <v>77</v>
      </c>
      <c r="I316" s="64" t="s">
        <v>90</v>
      </c>
      <c r="J316" s="63" t="s">
        <v>70</v>
      </c>
      <c r="K316" s="52" t="s">
        <v>109</v>
      </c>
      <c r="L316" s="13" t="s">
        <v>53</v>
      </c>
      <c r="M316" s="13" t="s">
        <v>82</v>
      </c>
      <c r="N316" s="13" t="s">
        <v>32</v>
      </c>
      <c r="O316" s="14" t="s">
        <v>69</v>
      </c>
      <c r="P316" s="13" t="s">
        <v>72</v>
      </c>
      <c r="Q316" s="65" t="s">
        <v>80</v>
      </c>
      <c r="R316" s="62" t="s">
        <v>81</v>
      </c>
      <c r="S316" s="65" t="s">
        <v>77</v>
      </c>
      <c r="T316" s="600" t="s">
        <v>83</v>
      </c>
      <c r="U316" s="63" t="s">
        <v>70</v>
      </c>
      <c r="V316" s="13" t="s">
        <v>92</v>
      </c>
      <c r="W316" s="13" t="s">
        <v>44</v>
      </c>
      <c r="X316" s="13" t="s">
        <v>78</v>
      </c>
      <c r="Y316" s="13" t="s">
        <v>68</v>
      </c>
      <c r="Z316" s="13" t="s">
        <v>33</v>
      </c>
      <c r="AA316" s="14" t="s">
        <v>69</v>
      </c>
      <c r="AB316" s="13" t="s">
        <v>72</v>
      </c>
      <c r="AC316" s="13" t="s">
        <v>80</v>
      </c>
      <c r="AD316" s="62" t="s">
        <v>81</v>
      </c>
      <c r="AE316" s="65" t="s">
        <v>77</v>
      </c>
      <c r="AF316" s="63" t="s">
        <v>70</v>
      </c>
      <c r="AG316" s="13" t="s">
        <v>94</v>
      </c>
      <c r="AH316" s="13" t="s">
        <v>45</v>
      </c>
      <c r="AI316" s="13" t="s">
        <v>79</v>
      </c>
      <c r="AJ316" s="13" t="s">
        <v>68</v>
      </c>
      <c r="AK316" s="13" t="s">
        <v>34</v>
      </c>
      <c r="AL316" s="14" t="s">
        <v>69</v>
      </c>
      <c r="AM316" s="13" t="s">
        <v>72</v>
      </c>
      <c r="AN316" s="13" t="s">
        <v>80</v>
      </c>
      <c r="AO316" s="62" t="s">
        <v>81</v>
      </c>
      <c r="AP316" s="65" t="s">
        <v>77</v>
      </c>
      <c r="AQ316" s="63" t="s">
        <v>70</v>
      </c>
      <c r="AR316" s="13" t="s">
        <v>94</v>
      </c>
      <c r="AS316" s="13" t="s">
        <v>45</v>
      </c>
      <c r="AT316" s="13" t="s">
        <v>79</v>
      </c>
      <c r="AU316" s="13" t="s">
        <v>68</v>
      </c>
      <c r="AV316" s="13" t="s">
        <v>34</v>
      </c>
      <c r="AW316" s="14" t="s">
        <v>69</v>
      </c>
      <c r="AX316" s="13" t="s">
        <v>72</v>
      </c>
      <c r="AY316" s="13" t="s">
        <v>80</v>
      </c>
      <c r="AZ316" s="62" t="s">
        <v>81</v>
      </c>
      <c r="BA316" s="65" t="s">
        <v>77</v>
      </c>
      <c r="BB316" s="63" t="s">
        <v>70</v>
      </c>
      <c r="BC316" s="13" t="s">
        <v>94</v>
      </c>
      <c r="BD316" s="13" t="s">
        <v>45</v>
      </c>
      <c r="BE316" s="13" t="s">
        <v>79</v>
      </c>
      <c r="BF316" s="13" t="s">
        <v>68</v>
      </c>
      <c r="BG316" s="13" t="s">
        <v>34</v>
      </c>
      <c r="BH316" s="14" t="s">
        <v>69</v>
      </c>
      <c r="BI316" s="19"/>
      <c r="BJ316" s="12"/>
      <c r="BK316" s="1199"/>
      <c r="BL316" s="349"/>
      <c r="BM316" s="276"/>
      <c r="BN316" s="285"/>
      <c r="BO316" s="15"/>
    </row>
    <row r="317" spans="1:67" x14ac:dyDescent="0.25">
      <c r="A317" s="145"/>
      <c r="B317" s="12"/>
      <c r="C317" s="115"/>
      <c r="D317" s="12"/>
      <c r="E317" s="118">
        <f>BL309</f>
        <v>0</v>
      </c>
      <c r="F317" s="19">
        <f>IF($D$4=2025,1,0)</f>
        <v>0</v>
      </c>
      <c r="G317" s="178">
        <f>IF($B355="Yes",$C$5,$I354)</f>
        <v>12</v>
      </c>
      <c r="H317" s="36">
        <f>VLOOKUP(H353,'Lookup Tables'!$A$22:$B$33,2,FALSE)</f>
        <v>3</v>
      </c>
      <c r="I317" s="192">
        <f>VLOOKUP($E$4,'Lookup Tables'!$AB$46:$AN$58,MATCH($H317,'Lookup Tables'!$AB$46:$AN$46),FALSE)</f>
        <v>12</v>
      </c>
      <c r="J317" s="33">
        <f>VLOOKUP(H317,'Lookup Tables'!$A$3:$AA$16,MATCH(PersonCalcYr3!$G317,'Lookup Tables'!$A$3:$AA$3),FALSE)</f>
        <v>1.5161</v>
      </c>
      <c r="K317" s="54">
        <f>VLOOKUP($H353,'Lookup Tables'!$K$23:$L$34,2,FALSE)</f>
        <v>0</v>
      </c>
      <c r="L317" s="12">
        <f>IF(G317&lt;=K317,G317,K317)</f>
        <v>0</v>
      </c>
      <c r="M317" s="195">
        <f>IF(12-I317&gt;=1,1,0)</f>
        <v>0</v>
      </c>
      <c r="N317" s="15">
        <f>(('Rate Tables'!E81*PersonCalcYr3!E317)*PersonCalcYr3!L317)*PersonCalcYr3!F317*M317</f>
        <v>0</v>
      </c>
      <c r="O317" s="28">
        <f>G317-((J317+L317)*M317)</f>
        <v>12</v>
      </c>
      <c r="P317" s="8">
        <f>IF(O317&lt;0,O317*0,1)*O317</f>
        <v>12</v>
      </c>
      <c r="Q317" s="120">
        <f>VLOOKUP($H353,'Lookup Tables'!$A$22:$B$33,2,FALSE)+(L317*M317)+(J317*M317)</f>
        <v>3</v>
      </c>
      <c r="R317" s="121" t="str">
        <f>VLOOKUP(Q317,'Lookup Tables'!$A$38:$B$151,2,FALSE)</f>
        <v>Sept</v>
      </c>
      <c r="S317" s="36">
        <f>VLOOKUP(R317,'Lookup Tables'!$A$22:$B$33,2,FALSE)</f>
        <v>3</v>
      </c>
      <c r="T317" s="599">
        <f>VLOOKUP($E$4,'Lookup Tables'!$AB$63:$AN$75,MATCH(PersonCalcYr3!$S317,'Lookup Tables'!$AB$63:$AN$63),FALSE)</f>
        <v>0.5161</v>
      </c>
      <c r="U317" s="34">
        <f>VLOOKUP(S317,'Lookup Tables'!$A$3:$AA$16,MATCH(PersonCalcYr3!$P317,'Lookup Tables'!$A$3:$AA$3),FALSE)</f>
        <v>1.5161</v>
      </c>
      <c r="V317" s="12">
        <f>9-T317</f>
        <v>8.4839000000000002</v>
      </c>
      <c r="W317" s="122">
        <f>P317-U317</f>
        <v>10.4839</v>
      </c>
      <c r="X317" s="119">
        <f>IF(V317&lt;=W317,V317,W317)</f>
        <v>8.4839000000000002</v>
      </c>
      <c r="Y317" s="195">
        <f>IF(12-T317-U317-X317&gt;=0,1,0)</f>
        <v>1</v>
      </c>
      <c r="Z317" s="20">
        <f>((('Rate Tables'!F81*$E317)*PersonCalcYr3!$X317)*$F317)*Y317</f>
        <v>0</v>
      </c>
      <c r="AA317" s="197">
        <f>O317-(((U317*U319)+X317)*Y317)</f>
        <v>2</v>
      </c>
      <c r="AB317" s="8">
        <f>IF(AA317&lt;0,AA317*0,1)*AA317</f>
        <v>2</v>
      </c>
      <c r="AC317" s="601">
        <f>S317+(X317*Y317)+((U317*U319)*Y317)</f>
        <v>13</v>
      </c>
      <c r="AD317" s="121" t="str">
        <f>VLOOKUP(AC317,'Lookup Tables'!$A$38:$B$151,2,FALSE)</f>
        <v>July</v>
      </c>
      <c r="AE317" s="36">
        <f>VLOOKUP(AD317,'Lookup Tables'!$A$22:$B$33,2,FALSE)</f>
        <v>1</v>
      </c>
      <c r="AF317" s="34">
        <f>VLOOKUP(AE317,'Lookup Tables'!$A$3:$AA$16,MATCH(PersonCalcYr3!AB317,'Lookup Tables'!$A$3:$AA$3),FALSE)</f>
        <v>1.4839</v>
      </c>
      <c r="AG317" s="12">
        <v>9</v>
      </c>
      <c r="AH317" s="122">
        <f>AB317-AF317</f>
        <v>0.5161</v>
      </c>
      <c r="AI317" s="119">
        <f>IF(AG317&lt;=AH317,AG317,AH317)</f>
        <v>0.5161</v>
      </c>
      <c r="AJ317" s="119">
        <f>IF((AG317+AF317)&lt;=0,0,1)</f>
        <v>1</v>
      </c>
      <c r="AK317" s="124">
        <f>((('Rate Tables'!G81*$E317)*PersonCalcYr3!AI317)*$F317)*AJ317</f>
        <v>0</v>
      </c>
      <c r="AL317" s="28">
        <f>AB317-AF317-AI317</f>
        <v>0</v>
      </c>
      <c r="AM317" s="8">
        <f>IF(AL317&lt;0,AL317*0,1)*AL317</f>
        <v>0</v>
      </c>
      <c r="AN317" s="601">
        <f>AE317+(AI317*AJ317)+((AF317*AF319)*AJ317)</f>
        <v>3</v>
      </c>
      <c r="AO317" s="121" t="str">
        <f>VLOOKUP(AN317,'Lookup Tables'!$A$38:$B$151,2,FALSE)</f>
        <v>Sept</v>
      </c>
      <c r="AP317" s="36">
        <f>VLOOKUP(AO317,'Lookup Tables'!$A$22:$B$33,2,FALSE)</f>
        <v>3</v>
      </c>
      <c r="AQ317" s="34">
        <f>VLOOKUP(AP317,'Lookup Tables'!$A$3:$AA$16,MATCH(PersonCalcYr3!AM317,'Lookup Tables'!$A$3:$AA$3),FALSE)</f>
        <v>0</v>
      </c>
      <c r="AR317" s="12">
        <v>9</v>
      </c>
      <c r="AS317" s="122">
        <f>AM317-AQ317</f>
        <v>0</v>
      </c>
      <c r="AT317" s="119">
        <f>IF(AR317&lt;=AS317,AR317,AS317)</f>
        <v>0</v>
      </c>
      <c r="AU317" s="119">
        <f>IF((AR317+AQ317)&lt;=0,0,1)</f>
        <v>1</v>
      </c>
      <c r="AV317" s="124">
        <f>((('Rate Tables'!H81*$E317)*PersonCalcYr3!AT317)*$F317)*AU317</f>
        <v>0</v>
      </c>
      <c r="AW317" s="28">
        <f>AM317-AQ317-AT317</f>
        <v>0</v>
      </c>
      <c r="AX317" s="8">
        <f>IF(AW317&lt;0,AW317*0,1)*AW317</f>
        <v>0</v>
      </c>
      <c r="AY317" s="601">
        <f>AP317+(AT317*AU317)+((AQ317*AQ319)*AU317)</f>
        <v>3</v>
      </c>
      <c r="AZ317" s="121" t="str">
        <f>VLOOKUP(AY317,'Lookup Tables'!$A$38:$B$151,2,FALSE)</f>
        <v>Sept</v>
      </c>
      <c r="BA317" s="36">
        <f>VLOOKUP(AZ317,'Lookup Tables'!$A$22:$B$33,2,FALSE)</f>
        <v>3</v>
      </c>
      <c r="BB317" s="34">
        <f>VLOOKUP(BA317,'Lookup Tables'!$A$3:$AA$16,MATCH(PersonCalcYr3!AX317,'Lookup Tables'!$A$3:$AA$3),FALSE)</f>
        <v>0</v>
      </c>
      <c r="BC317" s="12">
        <v>9</v>
      </c>
      <c r="BD317" s="122">
        <f>AX317-BB317</f>
        <v>0</v>
      </c>
      <c r="BE317" s="119">
        <f>IF(BC317&lt;=BD317,BC317,BD317)</f>
        <v>0</v>
      </c>
      <c r="BF317" s="119">
        <f>IF((BC317+BB317)&lt;=0,0,1)</f>
        <v>1</v>
      </c>
      <c r="BG317" s="124">
        <f>((('Rate Tables'!I81*$E317)*PersonCalcYr3!BE317)*$F317)*BF317</f>
        <v>0</v>
      </c>
      <c r="BH317" s="28">
        <f>AX317-BB317-BE317</f>
        <v>0</v>
      </c>
      <c r="BI317" s="19"/>
      <c r="BJ317" s="12"/>
      <c r="BK317" s="1199"/>
      <c r="BL317" s="349"/>
      <c r="BM317" s="276"/>
      <c r="BN317" s="285"/>
      <c r="BO317" s="15"/>
    </row>
    <row r="318" spans="1:67" x14ac:dyDescent="0.25">
      <c r="A318" s="145"/>
      <c r="B318" s="12"/>
      <c r="C318" s="115"/>
      <c r="D318" s="12"/>
      <c r="E318" s="118"/>
      <c r="F318" s="19"/>
      <c r="G318" s="12"/>
      <c r="H318" s="12"/>
      <c r="I318" s="141"/>
      <c r="J318" s="228" t="s">
        <v>183</v>
      </c>
      <c r="K318" s="13" t="s">
        <v>181</v>
      </c>
      <c r="L318" s="13" t="s">
        <v>179</v>
      </c>
      <c r="M318" s="13" t="s">
        <v>180</v>
      </c>
      <c r="N318" s="660" t="s">
        <v>128</v>
      </c>
      <c r="O318" s="135" t="s">
        <v>130</v>
      </c>
      <c r="P318" s="8"/>
      <c r="Q318" s="123"/>
      <c r="R318" s="12"/>
      <c r="S318" s="12"/>
      <c r="T318" s="12"/>
      <c r="U318" s="12"/>
      <c r="V318" s="228" t="s">
        <v>183</v>
      </c>
      <c r="W318" s="13" t="s">
        <v>181</v>
      </c>
      <c r="X318" s="13" t="s">
        <v>179</v>
      </c>
      <c r="Y318" s="13" t="s">
        <v>180</v>
      </c>
      <c r="Z318" s="608" t="s">
        <v>128</v>
      </c>
      <c r="AA318" s="135" t="s">
        <v>130</v>
      </c>
      <c r="AB318" s="8"/>
      <c r="AC318" s="123"/>
      <c r="AD318" s="12"/>
      <c r="AE318" s="12"/>
      <c r="AF318" s="12"/>
      <c r="AG318" s="228" t="s">
        <v>183</v>
      </c>
      <c r="AH318" s="13" t="s">
        <v>181</v>
      </c>
      <c r="AI318" s="13" t="s">
        <v>179</v>
      </c>
      <c r="AJ318" s="13" t="s">
        <v>180</v>
      </c>
      <c r="AK318" s="660" t="s">
        <v>128</v>
      </c>
      <c r="AL318" s="135" t="s">
        <v>130</v>
      </c>
      <c r="AM318" s="11"/>
      <c r="AN318" s="13"/>
      <c r="AO318" s="13"/>
      <c r="AP318" s="13"/>
      <c r="AQ318" s="13"/>
      <c r="AR318" s="228" t="s">
        <v>183</v>
      </c>
      <c r="AS318" s="13" t="s">
        <v>181</v>
      </c>
      <c r="AT318" s="13" t="s">
        <v>179</v>
      </c>
      <c r="AU318" s="13" t="s">
        <v>180</v>
      </c>
      <c r="AV318" s="660" t="s">
        <v>128</v>
      </c>
      <c r="AW318" s="135" t="s">
        <v>130</v>
      </c>
      <c r="AX318" s="153"/>
      <c r="AY318" s="153"/>
      <c r="AZ318" s="153"/>
      <c r="BA318" s="153"/>
      <c r="BB318" s="153"/>
      <c r="BC318" s="228" t="s">
        <v>183</v>
      </c>
      <c r="BD318" s="13" t="s">
        <v>181</v>
      </c>
      <c r="BE318" s="13" t="s">
        <v>179</v>
      </c>
      <c r="BF318" s="13" t="s">
        <v>180</v>
      </c>
      <c r="BG318" s="660" t="s">
        <v>128</v>
      </c>
      <c r="BH318" s="135" t="s">
        <v>130</v>
      </c>
      <c r="BI318" s="13" t="s">
        <v>159</v>
      </c>
      <c r="BJ318" s="12"/>
      <c r="BK318" s="1199"/>
      <c r="BL318" s="350" t="s">
        <v>644</v>
      </c>
      <c r="BM318" s="227" t="s">
        <v>582</v>
      </c>
      <c r="BN318" s="663">
        <f>IF(BN309&gt;0,1,0)</f>
        <v>0</v>
      </c>
      <c r="BO318" s="15"/>
    </row>
    <row r="319" spans="1:67" x14ac:dyDescent="0.25">
      <c r="A319" s="145"/>
      <c r="B319" s="227"/>
      <c r="C319" s="115"/>
      <c r="D319" s="12"/>
      <c r="E319" s="118"/>
      <c r="F319" s="19"/>
      <c r="G319" s="12"/>
      <c r="H319" s="12"/>
      <c r="I319" s="141"/>
      <c r="J319" s="141">
        <f>IF($BK328&gt;0,1,0)</f>
        <v>0</v>
      </c>
      <c r="K319" s="12">
        <f>IF($BK328=0,1,0)</f>
        <v>1</v>
      </c>
      <c r="L319" s="129">
        <f>'Rate Tables'!$P$17</f>
        <v>910</v>
      </c>
      <c r="M319" s="129">
        <f>'Rate Tables'!$Q$17</f>
        <v>933.34</v>
      </c>
      <c r="N319" s="661">
        <f>ROUNDUP(N323,0)</f>
        <v>0</v>
      </c>
      <c r="O319" s="136">
        <f>((J319*L319)+(K319*M319))*N319</f>
        <v>0</v>
      </c>
      <c r="P319" s="8"/>
      <c r="Q319" s="123"/>
      <c r="R319" s="12"/>
      <c r="S319" s="12"/>
      <c r="T319" s="605" t="s">
        <v>573</v>
      </c>
      <c r="U319" s="606">
        <f>VLOOKUP($E$4,'Lookup Tables'!$L$79:$X$91,MATCH(PersonCalcYr3!$S311,'Lookup Tables'!$L$79:$X$79),FALSE)</f>
        <v>1</v>
      </c>
      <c r="V319" s="141">
        <f>IF($BK328&gt;0,1,0)</f>
        <v>0</v>
      </c>
      <c r="W319" s="12">
        <f>IF($BK328=0,1,0)</f>
        <v>1</v>
      </c>
      <c r="X319" s="129">
        <f>'Rate Tables'!$P$18</f>
        <v>910</v>
      </c>
      <c r="Y319" s="129">
        <f>'Rate Tables'!$Q$18</f>
        <v>933.34</v>
      </c>
      <c r="Z319" s="661">
        <f>IF(Y325&lt;=AA325,Y325,AA325)</f>
        <v>0</v>
      </c>
      <c r="AA319" s="136">
        <f>((V319*X319)+(W319*Y319))*Z319</f>
        <v>0</v>
      </c>
      <c r="AB319" s="8"/>
      <c r="AC319" s="123"/>
      <c r="AD319" s="12"/>
      <c r="AE319" s="605" t="s">
        <v>573</v>
      </c>
      <c r="AF319" s="606">
        <v>1</v>
      </c>
      <c r="AG319" s="141">
        <f>IF($BK328&gt;0,1,0)</f>
        <v>0</v>
      </c>
      <c r="AH319" s="12">
        <f>IF($BK328=0,1,0)</f>
        <v>1</v>
      </c>
      <c r="AI319" s="129">
        <f>'Rate Tables'!$P$19</f>
        <v>910</v>
      </c>
      <c r="AJ319" s="129">
        <f>'Rate Tables'!$Q$19</f>
        <v>933.34</v>
      </c>
      <c r="AK319" s="661">
        <f>IF(AJ324&lt;=AL323,AJ324,AL323)</f>
        <v>0</v>
      </c>
      <c r="AL319" s="136">
        <f>((AG319*AI319)+(AH319*AJ319))*AK319</f>
        <v>0</v>
      </c>
      <c r="AM319" s="11"/>
      <c r="AN319" s="19"/>
      <c r="AO319" s="19"/>
      <c r="AP319" s="605" t="s">
        <v>573</v>
      </c>
      <c r="AQ319" s="606">
        <v>1</v>
      </c>
      <c r="AR319" s="141">
        <f>IF($BK328&gt;0,1,0)</f>
        <v>0</v>
      </c>
      <c r="AS319" s="12">
        <f>IF($BK328=0,1,0)</f>
        <v>1</v>
      </c>
      <c r="AT319" s="129">
        <f>'Rate Tables'!$P$20</f>
        <v>928.2</v>
      </c>
      <c r="AU319" s="129">
        <f>'Rate Tables'!$Q$20</f>
        <v>952</v>
      </c>
      <c r="AV319" s="661">
        <f>IF(AU324&lt;=AW323,AU324,AW323)</f>
        <v>0</v>
      </c>
      <c r="AW319" s="136">
        <f>((AR319*AT319)+(AS319*AU319))*AV319</f>
        <v>0</v>
      </c>
      <c r="AX319" s="125"/>
      <c r="AY319" s="125"/>
      <c r="AZ319" s="125"/>
      <c r="BA319" s="125"/>
      <c r="BB319" s="125"/>
      <c r="BC319" s="141">
        <f>IF($BK328&gt;0,1,0)</f>
        <v>0</v>
      </c>
      <c r="BD319" s="12">
        <f>IF($BK328=0,1,0)</f>
        <v>1</v>
      </c>
      <c r="BE319" s="129">
        <f>'Rate Tables'!$P$21</f>
        <v>946.76</v>
      </c>
      <c r="BF319" s="129">
        <f>'Rate Tables'!$Q$21</f>
        <v>971.04</v>
      </c>
      <c r="BG319" s="661">
        <f>IF(BF324&lt;=BH323,BF324,BH323)</f>
        <v>0</v>
      </c>
      <c r="BH319" s="136">
        <f>((BC319*BE319)+(BD319*BF319))*BG319</f>
        <v>0</v>
      </c>
      <c r="BI319" s="19">
        <f>VLOOKUP(B307,'Lookup Tables'!$AK$22:$AM$24,2,0)</f>
        <v>0</v>
      </c>
      <c r="BJ319" s="12"/>
      <c r="BK319" s="307">
        <f>N323+N324+N325+N326+Z325+Z326+Z327+Z328+AK323+AK324+AK325+AK326+AV323+AV324+AV325+AV326+BG323+BG324+BG325+BG326</f>
        <v>9</v>
      </c>
      <c r="BL319" s="358" t="str">
        <f>IF(BL309=50%,"no",Personnel!W86)</f>
        <v>No</v>
      </c>
      <c r="BM319" s="12"/>
      <c r="BN319" s="285"/>
      <c r="BO319" s="15"/>
    </row>
    <row r="320" spans="1:67" x14ac:dyDescent="0.25">
      <c r="A320" s="145"/>
      <c r="B320" s="12"/>
      <c r="C320" s="115"/>
      <c r="D320" s="12"/>
      <c r="E320" s="126"/>
      <c r="F320" s="19"/>
      <c r="G320" s="12"/>
      <c r="H320" s="12"/>
      <c r="I320" s="12"/>
      <c r="J320" s="141">
        <f>IF($BK328&gt;0,1,0)</f>
        <v>0</v>
      </c>
      <c r="K320" s="12">
        <f>IF($BK328=0,1,0)</f>
        <v>1</v>
      </c>
      <c r="L320" s="129">
        <f>'Rate Tables'!$P$18</f>
        <v>910</v>
      </c>
      <c r="M320" s="129">
        <f>'Rate Tables'!$Q$18</f>
        <v>933.34</v>
      </c>
      <c r="N320" s="661">
        <f>ROUNDUP(N324,0)</f>
        <v>0</v>
      </c>
      <c r="O320" s="136">
        <f>((J320*L320)+(K320*M320))*N320</f>
        <v>0</v>
      </c>
      <c r="P320" s="19"/>
      <c r="Q320" s="19"/>
      <c r="R320" s="19"/>
      <c r="S320" s="19"/>
      <c r="T320" s="19"/>
      <c r="U320" s="12"/>
      <c r="V320" s="141">
        <f>IF($BK328&gt;0,1,0)</f>
        <v>0</v>
      </c>
      <c r="W320" s="12">
        <f>IF($BK328=0,1,0)</f>
        <v>1</v>
      </c>
      <c r="X320" s="129">
        <f>'Rate Tables'!$P$19</f>
        <v>910</v>
      </c>
      <c r="Y320" s="129">
        <f>'Rate Tables'!$Q$19</f>
        <v>933.34</v>
      </c>
      <c r="Z320" s="661">
        <f>IF(Y325&lt;=AA326,Y325,AA326)</f>
        <v>0</v>
      </c>
      <c r="AA320" s="136">
        <f>((V320*X320)+(W320*Y320))*Z320</f>
        <v>0</v>
      </c>
      <c r="AB320" s="20"/>
      <c r="AC320" s="20"/>
      <c r="AD320" s="20"/>
      <c r="AE320" s="20"/>
      <c r="AF320" s="123"/>
      <c r="AG320" s="141">
        <f>IF($BK328&gt;0,1,0)</f>
        <v>0</v>
      </c>
      <c r="AH320" s="12">
        <f>IF($BK328=0,1,0)</f>
        <v>1</v>
      </c>
      <c r="AI320" s="129">
        <f>'Rate Tables'!$P$20</f>
        <v>928.2</v>
      </c>
      <c r="AJ320" s="129">
        <f>'Rate Tables'!$Q$20</f>
        <v>952</v>
      </c>
      <c r="AK320" s="661">
        <f>IF(AJ324&lt;=AL324,AJ324,AL324)</f>
        <v>0</v>
      </c>
      <c r="AL320" s="136">
        <f>((AG320*AI320)+(AH320*AJ320))*AK320</f>
        <v>0</v>
      </c>
      <c r="AM320" s="11"/>
      <c r="AN320" s="19"/>
      <c r="AO320" s="19"/>
      <c r="AP320" s="19"/>
      <c r="AQ320" s="19"/>
      <c r="AR320" s="141">
        <f>IF($BK328&gt;0,1,0)</f>
        <v>0</v>
      </c>
      <c r="AS320" s="12">
        <f>IF($BK328=0,1,0)</f>
        <v>1</v>
      </c>
      <c r="AT320" s="129">
        <f>'Rate Tables'!$P$21</f>
        <v>946.76</v>
      </c>
      <c r="AU320" s="129">
        <f>'Rate Tables'!$Q$21</f>
        <v>971.04</v>
      </c>
      <c r="AV320" s="661">
        <f>IF(AU324&lt;=AW324,AU324,AW324)</f>
        <v>0</v>
      </c>
      <c r="AW320" s="136">
        <f>((AR320*AT320)+(AS320*AU320))*AV320</f>
        <v>0</v>
      </c>
      <c r="AX320" s="125"/>
      <c r="AY320" s="125"/>
      <c r="AZ320" s="125"/>
      <c r="BA320" s="125"/>
      <c r="BB320" s="125"/>
      <c r="BC320" s="141">
        <f>IF($BK328&gt;0,1,0)</f>
        <v>0</v>
      </c>
      <c r="BD320" s="12">
        <f>IF($BK328=0,1,0)</f>
        <v>1</v>
      </c>
      <c r="BE320" s="129">
        <f>'Rate Tables'!$P$22</f>
        <v>965.7</v>
      </c>
      <c r="BF320" s="129">
        <f>'Rate Tables'!$Q$22</f>
        <v>990.46</v>
      </c>
      <c r="BG320" s="661">
        <f>IF(BF324&lt;=BH324,BF324,BH324)</f>
        <v>0</v>
      </c>
      <c r="BH320" s="136">
        <f>((BC320*BE320)+(BD320*BF320))*BG320</f>
        <v>0</v>
      </c>
      <c r="BI320" s="19"/>
      <c r="BJ320" s="12"/>
      <c r="BK320" s="307">
        <f>ROUNDUP(BK319,0)</f>
        <v>9</v>
      </c>
      <c r="BL320" s="349">
        <f>IF(BL319="yes",0.5,1)</f>
        <v>1</v>
      </c>
      <c r="BM320" s="12"/>
      <c r="BN320" s="285"/>
      <c r="BO320" s="15"/>
    </row>
    <row r="321" spans="1:67" x14ac:dyDescent="0.25">
      <c r="A321" s="145"/>
      <c r="B321" s="12"/>
      <c r="C321" s="115"/>
      <c r="D321" s="12"/>
      <c r="E321" s="126"/>
      <c r="F321" s="19"/>
      <c r="G321" s="12"/>
      <c r="H321" s="12"/>
      <c r="I321" s="12"/>
      <c r="J321" s="141">
        <f>IF($BK328&gt;0,1,0)</f>
        <v>0</v>
      </c>
      <c r="K321" s="12">
        <f>IF($BK328=0,1,0)</f>
        <v>1</v>
      </c>
      <c r="L321" s="129">
        <f>'Rate Tables'!$P$19</f>
        <v>910</v>
      </c>
      <c r="M321" s="129">
        <f>'Rate Tables'!$Q$19</f>
        <v>933.34</v>
      </c>
      <c r="N321" s="661">
        <f>ROUNDUP(N325,0)</f>
        <v>0</v>
      </c>
      <c r="O321" s="136">
        <f>((J321*L321)+(K321*M321))*N321</f>
        <v>0</v>
      </c>
      <c r="P321" s="19"/>
      <c r="Q321" s="19"/>
      <c r="R321" s="19"/>
      <c r="S321" s="19"/>
      <c r="T321" s="19"/>
      <c r="U321" s="12"/>
      <c r="V321" s="141">
        <f>IF($BK328&gt;0,1,0)</f>
        <v>0</v>
      </c>
      <c r="W321" s="12">
        <f>IF($BK328=0,1,0)</f>
        <v>1</v>
      </c>
      <c r="X321" s="129">
        <f>'Rate Tables'!$P$20</f>
        <v>928.2</v>
      </c>
      <c r="Y321" s="129">
        <f>'Rate Tables'!$Q$20</f>
        <v>952</v>
      </c>
      <c r="Z321" s="661">
        <f>IF(Y325&lt;=AA327,Y325,AA327)</f>
        <v>9</v>
      </c>
      <c r="AA321" s="136">
        <f>((V321*X321)+(W321*Y321))*Z321</f>
        <v>8568</v>
      </c>
      <c r="AB321" s="20"/>
      <c r="AC321" s="20"/>
      <c r="AD321" s="20"/>
      <c r="AE321" s="20"/>
      <c r="AF321" s="123"/>
      <c r="AG321" s="141">
        <f>IF($BK328&gt;0,1,0)</f>
        <v>0</v>
      </c>
      <c r="AH321" s="12">
        <f>IF($BK328=0,1,0)</f>
        <v>1</v>
      </c>
      <c r="AI321" s="129">
        <f>'Rate Tables'!$P$21</f>
        <v>946.76</v>
      </c>
      <c r="AJ321" s="129">
        <f>'Rate Tables'!$Q$21</f>
        <v>971.04</v>
      </c>
      <c r="AK321" s="661">
        <f>IF(AJ324&lt;=AL325,AJ324,AL325)</f>
        <v>0</v>
      </c>
      <c r="AL321" s="136">
        <f>((AG321*AI321)+(AH321*AJ321))*AK321</f>
        <v>0</v>
      </c>
      <c r="AM321" s="11"/>
      <c r="AN321" s="19"/>
      <c r="AO321" s="19"/>
      <c r="AP321" s="19"/>
      <c r="AQ321" s="19"/>
      <c r="AR321" s="141">
        <f>IF($BK328&gt;0,1,0)</f>
        <v>0</v>
      </c>
      <c r="AS321" s="12">
        <f>IF($BK328=0,1,0)</f>
        <v>1</v>
      </c>
      <c r="AT321" s="129">
        <f>'Rate Tables'!$P$22</f>
        <v>965.7</v>
      </c>
      <c r="AU321" s="129">
        <f>'Rate Tables'!$Q$22</f>
        <v>990.46</v>
      </c>
      <c r="AV321" s="661">
        <f>IF(AU324&lt;=AW325,AU324,AW325)</f>
        <v>0</v>
      </c>
      <c r="AW321" s="136">
        <f>((AR321*AT321)+(AS321*AU321))*AV321</f>
        <v>0</v>
      </c>
      <c r="AX321" s="125"/>
      <c r="AY321" s="125"/>
      <c r="AZ321" s="125"/>
      <c r="BA321" s="125"/>
      <c r="BB321" s="125"/>
      <c r="BC321" s="141">
        <f>IF($BK328&gt;0,1,0)</f>
        <v>0</v>
      </c>
      <c r="BD321" s="12">
        <f>IF($BK328=0,1,0)</f>
        <v>1</v>
      </c>
      <c r="BE321" s="129">
        <f>'Rate Tables'!$P$23</f>
        <v>985.01</v>
      </c>
      <c r="BF321" s="129">
        <f>'Rate Tables'!$Q$23</f>
        <v>1010.27</v>
      </c>
      <c r="BG321" s="661">
        <f>IF(BF324&lt;=BH325,BF324,BH325)</f>
        <v>0</v>
      </c>
      <c r="BH321" s="136">
        <f>((BC321*BE321)+(BD321*BF321))*BG321</f>
        <v>0</v>
      </c>
      <c r="BI321" s="19"/>
      <c r="BJ321" s="12"/>
      <c r="BK321" s="307"/>
      <c r="BL321" s="349"/>
      <c r="BM321" s="12"/>
      <c r="BN321" s="285"/>
      <c r="BO321" s="15"/>
    </row>
    <row r="322" spans="1:67" x14ac:dyDescent="0.25">
      <c r="A322" s="145"/>
      <c r="B322" s="12"/>
      <c r="C322" s="115"/>
      <c r="D322" s="12"/>
      <c r="E322" s="126"/>
      <c r="F322" s="19"/>
      <c r="G322" s="12"/>
      <c r="H322" s="12"/>
      <c r="I322" s="12"/>
      <c r="J322" s="141">
        <f>IF($BK328&gt;0,1,0)</f>
        <v>0</v>
      </c>
      <c r="K322" s="12">
        <f>IF($BK328=0,1,0)</f>
        <v>1</v>
      </c>
      <c r="L322" s="129">
        <f>'Rate Tables'!$P$20</f>
        <v>928.2</v>
      </c>
      <c r="M322" s="129">
        <f>'Rate Tables'!$Q$20</f>
        <v>952</v>
      </c>
      <c r="N322" s="661">
        <f>ROUNDUP(N326,0)</f>
        <v>0</v>
      </c>
      <c r="O322" s="136">
        <f>((J322*L322)+(K322*M322))*N322</f>
        <v>0</v>
      </c>
      <c r="P322" s="19"/>
      <c r="Q322" s="19"/>
      <c r="R322" s="19"/>
      <c r="S322" s="19"/>
      <c r="T322" s="19"/>
      <c r="U322" s="12"/>
      <c r="V322" s="141">
        <f>IF($BK328&gt;0,1,0)</f>
        <v>0</v>
      </c>
      <c r="W322" s="12">
        <f>IF($BK328=0,1,0)</f>
        <v>1</v>
      </c>
      <c r="X322" s="129">
        <f>'Rate Tables'!$P$21</f>
        <v>946.76</v>
      </c>
      <c r="Y322" s="129">
        <f>'Rate Tables'!$Q$21</f>
        <v>971.04</v>
      </c>
      <c r="Z322" s="661">
        <f>IF(Y325&lt;=AA328,Y325,AA328)</f>
        <v>0</v>
      </c>
      <c r="AA322" s="136">
        <f>((V322*X322)+(W322*Y322))*Z322</f>
        <v>0</v>
      </c>
      <c r="AB322" s="20"/>
      <c r="AC322" s="20"/>
      <c r="AD322" s="20"/>
      <c r="AE322" s="20"/>
      <c r="AF322" s="123"/>
      <c r="AG322" s="141">
        <f>IF($BK328&gt;0,1,0)</f>
        <v>0</v>
      </c>
      <c r="AH322" s="12">
        <f>IF($BK328=0,1,0)</f>
        <v>1</v>
      </c>
      <c r="AI322" s="129">
        <f>'Rate Tables'!$P$22</f>
        <v>965.7</v>
      </c>
      <c r="AJ322" s="129">
        <f>'Rate Tables'!$Q$22</f>
        <v>990.46</v>
      </c>
      <c r="AK322" s="661">
        <f>IF(AJ324&lt;=AL326,AJ324,AL326)</f>
        <v>0</v>
      </c>
      <c r="AL322" s="136">
        <f>((AG322*AI322)+(AH322*AJ322))*AK322</f>
        <v>0</v>
      </c>
      <c r="AM322" s="11"/>
      <c r="AN322" s="19"/>
      <c r="AO322" s="19"/>
      <c r="AP322" s="19"/>
      <c r="AQ322" s="19"/>
      <c r="AR322" s="141">
        <f>IF($BK328&gt;0,1,0)</f>
        <v>0</v>
      </c>
      <c r="AS322" s="12">
        <f>IF($BK328=0,1,0)</f>
        <v>1</v>
      </c>
      <c r="AT322" s="129">
        <f>'Rate Tables'!$P$23</f>
        <v>985.01</v>
      </c>
      <c r="AU322" s="129">
        <f>'Rate Tables'!$Q$23</f>
        <v>1010.27</v>
      </c>
      <c r="AV322" s="661">
        <f>IF(AU324&lt;=AW326,AU324,AW326)</f>
        <v>0</v>
      </c>
      <c r="AW322" s="136">
        <f>((AR322*AT322)+(AS322*AU322))*AV322</f>
        <v>0</v>
      </c>
      <c r="AX322" s="125"/>
      <c r="AY322" s="125"/>
      <c r="AZ322" s="125"/>
      <c r="BA322" s="125"/>
      <c r="BB322" s="125"/>
      <c r="BC322" s="141">
        <f>IF($BK328&gt;0,1,0)</f>
        <v>0</v>
      </c>
      <c r="BD322" s="12">
        <f>IF($BK328=0,1,0)</f>
        <v>1</v>
      </c>
      <c r="BE322" s="129">
        <f>'Rate Tables'!$P$24</f>
        <v>1004.71</v>
      </c>
      <c r="BF322" s="129">
        <f>'Rate Tables'!$Q$24</f>
        <v>1030.47</v>
      </c>
      <c r="BG322" s="661">
        <f>IF(BF324&lt;=BH326,BF324,BH326)</f>
        <v>0</v>
      </c>
      <c r="BH322" s="136">
        <f>((BC322*BE322)+(BD322*BF322))*BG322</f>
        <v>0</v>
      </c>
      <c r="BI322" s="19"/>
      <c r="BJ322" s="12"/>
      <c r="BK322" s="307"/>
      <c r="BL322" s="349"/>
      <c r="BM322" s="12"/>
      <c r="BN322" s="285"/>
      <c r="BO322" s="15"/>
    </row>
    <row r="323" spans="1:67" x14ac:dyDescent="0.25">
      <c r="A323" s="145"/>
      <c r="B323" s="12"/>
      <c r="C323" s="115"/>
      <c r="D323" s="12"/>
      <c r="E323" s="126"/>
      <c r="F323" s="19"/>
      <c r="G323" s="12"/>
      <c r="H323" s="12"/>
      <c r="I323" s="12"/>
      <c r="J323" s="141"/>
      <c r="K323" s="12"/>
      <c r="L323" s="129"/>
      <c r="M323" s="129"/>
      <c r="N323" s="661">
        <f>L311*M311*F311</f>
        <v>0</v>
      </c>
      <c r="O323" s="136"/>
      <c r="P323" s="19"/>
      <c r="Q323" s="19"/>
      <c r="R323" s="19"/>
      <c r="S323" s="19"/>
      <c r="T323" s="19"/>
      <c r="U323" s="12"/>
      <c r="V323" s="141"/>
      <c r="W323" s="12"/>
      <c r="X323" s="129"/>
      <c r="Y323" s="129"/>
      <c r="Z323" s="661"/>
      <c r="AA323" s="125"/>
      <c r="AB323" s="20"/>
      <c r="AC323" s="20"/>
      <c r="AD323" s="20"/>
      <c r="AE323" s="20"/>
      <c r="AF323" s="123"/>
      <c r="AG323" s="141"/>
      <c r="AH323" s="12"/>
      <c r="AI323" s="129"/>
      <c r="AJ323" s="129"/>
      <c r="AK323" s="731">
        <f>AI311*AJ311*F311</f>
        <v>0</v>
      </c>
      <c r="AL323" s="655">
        <f>ROUNDUP(AK323,0)</f>
        <v>0</v>
      </c>
      <c r="AM323" s="11"/>
      <c r="AN323" s="19"/>
      <c r="AO323" s="19"/>
      <c r="AP323" s="19"/>
      <c r="AQ323" s="19"/>
      <c r="AR323" s="141"/>
      <c r="AS323" s="12"/>
      <c r="AT323" s="129"/>
      <c r="AU323" s="129"/>
      <c r="AV323" s="731">
        <f>AT311*AU311*F311</f>
        <v>0</v>
      </c>
      <c r="AW323" s="655">
        <f>ROUNDUP(AV323,0)</f>
        <v>0</v>
      </c>
      <c r="AX323" s="125"/>
      <c r="AY323" s="125"/>
      <c r="AZ323" s="125"/>
      <c r="BA323" s="125"/>
      <c r="BB323" s="125"/>
      <c r="BC323" s="141"/>
      <c r="BD323" s="12"/>
      <c r="BE323" s="129"/>
      <c r="BF323" s="129"/>
      <c r="BG323" s="731">
        <f>BE311*BF311*F311</f>
        <v>0</v>
      </c>
      <c r="BH323" s="655">
        <f>ROUNDUP(BG323,0)</f>
        <v>0</v>
      </c>
      <c r="BI323" s="19"/>
      <c r="BJ323" s="12"/>
      <c r="BK323" s="307"/>
      <c r="BL323" s="349"/>
      <c r="BM323" s="12"/>
      <c r="BN323" s="285"/>
      <c r="BO323" s="15"/>
    </row>
    <row r="324" spans="1:67" x14ac:dyDescent="0.25">
      <c r="A324" s="145"/>
      <c r="B324" s="12"/>
      <c r="C324" s="115"/>
      <c r="D324" s="12"/>
      <c r="E324" s="126"/>
      <c r="F324" s="19"/>
      <c r="G324" s="12"/>
      <c r="H324" s="12"/>
      <c r="I324" s="12"/>
      <c r="J324" s="141"/>
      <c r="K324" s="12"/>
      <c r="L324" s="129"/>
      <c r="M324" s="129"/>
      <c r="N324" s="661">
        <f>L313*M313*F313</f>
        <v>0</v>
      </c>
      <c r="O324" s="136"/>
      <c r="P324" s="19"/>
      <c r="Q324" s="19"/>
      <c r="R324" s="19"/>
      <c r="S324" s="19"/>
      <c r="T324" s="19"/>
      <c r="U324" s="12"/>
      <c r="V324" s="141"/>
      <c r="W324" s="12"/>
      <c r="X324" s="129"/>
      <c r="Y324" s="129"/>
      <c r="Z324" s="661"/>
      <c r="AA324" s="125"/>
      <c r="AB324" s="20"/>
      <c r="AC324" s="20"/>
      <c r="AD324" s="20"/>
      <c r="AE324" s="20"/>
      <c r="AF324" s="123"/>
      <c r="AG324" s="141"/>
      <c r="AH324" s="12"/>
      <c r="AI324" s="653" t="s">
        <v>581</v>
      </c>
      <c r="AJ324" s="653">
        <f>Y325-Z319-Z320-Z321-Z322</f>
        <v>0</v>
      </c>
      <c r="AK324" s="731">
        <f>AI313*AJ313*F313</f>
        <v>0</v>
      </c>
      <c r="AL324" s="732">
        <f>ROUNDUP(AK324,0)</f>
        <v>0</v>
      </c>
      <c r="AM324" s="11"/>
      <c r="AN324" s="19"/>
      <c r="AO324" s="19"/>
      <c r="AP324" s="19"/>
      <c r="AQ324" s="19"/>
      <c r="AR324" s="141"/>
      <c r="AS324" s="12"/>
      <c r="AT324" s="653" t="s">
        <v>581</v>
      </c>
      <c r="AU324" s="653">
        <f>AJ324-AK319-AK320*AK321-AK322</f>
        <v>0</v>
      </c>
      <c r="AV324" s="731">
        <f>AT313*AU313*F313</f>
        <v>0</v>
      </c>
      <c r="AW324" s="732">
        <f>ROUNDUP(AV324,0)</f>
        <v>0</v>
      </c>
      <c r="AX324" s="119"/>
      <c r="AY324" s="119"/>
      <c r="AZ324" s="119"/>
      <c r="BA324" s="119"/>
      <c r="BB324" s="119"/>
      <c r="BC324" s="141"/>
      <c r="BD324" s="12"/>
      <c r="BE324" s="653" t="s">
        <v>581</v>
      </c>
      <c r="BF324" s="653">
        <f>AU324-AV319-AV320*AV321-AV322</f>
        <v>0</v>
      </c>
      <c r="BG324" s="731">
        <f>BE313*BF313*F313</f>
        <v>0</v>
      </c>
      <c r="BH324" s="732">
        <f>ROUNDUP(BG324,0)</f>
        <v>0</v>
      </c>
      <c r="BI324" s="19"/>
      <c r="BJ324" s="12"/>
      <c r="BK324" s="307"/>
      <c r="BL324" s="349"/>
      <c r="BM324" s="12"/>
      <c r="BN324" s="285"/>
      <c r="BO324" s="15"/>
    </row>
    <row r="325" spans="1:67" x14ac:dyDescent="0.25">
      <c r="A325" s="145"/>
      <c r="B325" s="12"/>
      <c r="C325" s="115"/>
      <c r="D325" s="12"/>
      <c r="E325" s="126"/>
      <c r="F325" s="19"/>
      <c r="G325" s="12" t="s">
        <v>585</v>
      </c>
      <c r="H325" s="12"/>
      <c r="I325" s="12"/>
      <c r="J325" s="141"/>
      <c r="K325" s="12"/>
      <c r="L325" s="129"/>
      <c r="M325" s="129"/>
      <c r="N325" s="661">
        <f>L315*M315*F315</f>
        <v>0</v>
      </c>
      <c r="O325" s="136"/>
      <c r="P325" s="19"/>
      <c r="Q325" s="19"/>
      <c r="R325" s="19"/>
      <c r="S325" s="19"/>
      <c r="T325" s="19"/>
      <c r="U325" s="12"/>
      <c r="V325" s="141"/>
      <c r="W325" s="12"/>
      <c r="X325" s="653" t="s">
        <v>581</v>
      </c>
      <c r="Y325" s="653">
        <f>BK320-N319-N320-N321-N322</f>
        <v>9</v>
      </c>
      <c r="Z325" s="731">
        <f>X311*Y311*F311</f>
        <v>0</v>
      </c>
      <c r="AA325" s="655">
        <f>ROUNDUP(Z325,0)</f>
        <v>0</v>
      </c>
      <c r="AB325" s="20"/>
      <c r="AC325" s="20"/>
      <c r="AD325" s="20"/>
      <c r="AE325" s="20"/>
      <c r="AF325" s="123"/>
      <c r="AG325" s="141"/>
      <c r="AH325" s="12"/>
      <c r="AI325" s="122"/>
      <c r="AJ325" s="122"/>
      <c r="AK325" s="838">
        <f>AI315*AJ315*F315</f>
        <v>0.5161</v>
      </c>
      <c r="AL325" s="732">
        <f>ROUNDUP(AK325,0)</f>
        <v>1</v>
      </c>
      <c r="AM325" s="11"/>
      <c r="AN325" s="19"/>
      <c r="AO325" s="19"/>
      <c r="AP325" s="19"/>
      <c r="AQ325" s="19"/>
      <c r="AR325" s="141"/>
      <c r="AS325" s="12"/>
      <c r="AT325" s="129"/>
      <c r="AU325" s="129"/>
      <c r="AV325" s="731">
        <f>AT315*AU315*F315</f>
        <v>0</v>
      </c>
      <c r="AW325" s="732">
        <f>ROUNDUP(AV325,0)</f>
        <v>0</v>
      </c>
      <c r="AX325" s="119"/>
      <c r="AY325" s="119"/>
      <c r="AZ325" s="119"/>
      <c r="BA325" s="119"/>
      <c r="BB325" s="119"/>
      <c r="BC325" s="141"/>
      <c r="BD325" s="12"/>
      <c r="BE325" s="129"/>
      <c r="BF325" s="129"/>
      <c r="BG325" s="731">
        <f>BE315*BF315*F315</f>
        <v>0</v>
      </c>
      <c r="BH325" s="732">
        <f>ROUNDUP(BG325,0)</f>
        <v>0</v>
      </c>
      <c r="BI325" s="19"/>
      <c r="BJ325" s="12"/>
      <c r="BK325" s="307"/>
      <c r="BL325" s="349"/>
      <c r="BM325" s="12"/>
      <c r="BN325" s="285"/>
      <c r="BO325" s="15"/>
    </row>
    <row r="326" spans="1:67" ht="26.25" x14ac:dyDescent="0.25">
      <c r="A326" s="145"/>
      <c r="B326" s="12"/>
      <c r="C326" s="259" t="s">
        <v>606</v>
      </c>
      <c r="D326" s="12"/>
      <c r="E326" s="126"/>
      <c r="F326" s="19"/>
      <c r="G326" s="12"/>
      <c r="H326" s="12"/>
      <c r="I326" s="12"/>
      <c r="J326" s="12"/>
      <c r="K326" s="12"/>
      <c r="L326" s="12"/>
      <c r="M326" s="12"/>
      <c r="N326" s="662">
        <f>L317*M317*F317</f>
        <v>0</v>
      </c>
      <c r="O326" s="18"/>
      <c r="P326" s="19"/>
      <c r="Q326" s="19"/>
      <c r="R326" s="19"/>
      <c r="S326" s="19"/>
      <c r="T326" s="19"/>
      <c r="U326" s="12"/>
      <c r="V326" s="122"/>
      <c r="W326" s="122"/>
      <c r="X326" s="122"/>
      <c r="Y326" s="119"/>
      <c r="Z326" s="731">
        <f>X313*Y313*F313</f>
        <v>0</v>
      </c>
      <c r="AA326" s="732">
        <f>ROUNDUP(Z326,0)</f>
        <v>0</v>
      </c>
      <c r="AB326" s="20"/>
      <c r="AC326" s="20"/>
      <c r="AD326" s="20"/>
      <c r="AE326" s="20"/>
      <c r="AF326" s="123"/>
      <c r="AG326" s="122"/>
      <c r="AH326" s="122"/>
      <c r="AI326" s="11"/>
      <c r="AJ326" s="11"/>
      <c r="AK326" s="658">
        <f>AI317*AJ317*F317</f>
        <v>0</v>
      </c>
      <c r="AL326" s="659">
        <f>ROUNDUP(AK326,0)</f>
        <v>0</v>
      </c>
      <c r="AM326" s="11"/>
      <c r="AN326" s="19"/>
      <c r="AO326" s="19"/>
      <c r="AP326" s="19"/>
      <c r="AQ326" s="19"/>
      <c r="AR326" s="122"/>
      <c r="AS326" s="122"/>
      <c r="AT326" s="122"/>
      <c r="AU326" s="122"/>
      <c r="AV326" s="733">
        <f>AT317*AU317*F317</f>
        <v>0</v>
      </c>
      <c r="AW326" s="659">
        <f>ROUNDUP(AV326,0)</f>
        <v>0</v>
      </c>
      <c r="AX326" s="119"/>
      <c r="AY326" s="119"/>
      <c r="AZ326" s="119"/>
      <c r="BA326" s="119"/>
      <c r="BB326" s="119"/>
      <c r="BC326" s="122"/>
      <c r="BD326" s="122"/>
      <c r="BE326" s="122"/>
      <c r="BF326" s="122"/>
      <c r="BG326" s="733">
        <f>BE317*BF317*F317</f>
        <v>0</v>
      </c>
      <c r="BH326" s="659">
        <f>ROUNDUP(BG326,0)</f>
        <v>0</v>
      </c>
      <c r="BI326" s="19"/>
      <c r="BJ326" s="12"/>
      <c r="BK326" s="748" t="s">
        <v>411</v>
      </c>
      <c r="BL326" s="352" t="str">
        <f>Personnel!W84</f>
        <v>None</v>
      </c>
      <c r="BM326" s="276" t="s">
        <v>117</v>
      </c>
      <c r="BN326" s="285">
        <f>(N328+N330+N332+N334+W328+W330+W332+W334+AJ328+AJ330+AJ332+AJ334+AU328+AU330+AU332+AU334+BF328+BF330+BF332+BF334)*BI328</f>
        <v>0</v>
      </c>
      <c r="BO326" s="15"/>
    </row>
    <row r="327" spans="1:67" x14ac:dyDescent="0.25">
      <c r="A327" s="145"/>
      <c r="B327" s="12"/>
      <c r="C327" s="117" t="s">
        <v>30</v>
      </c>
      <c r="D327" s="12"/>
      <c r="E327" s="13" t="s">
        <v>84</v>
      </c>
      <c r="F327" s="13" t="s">
        <v>42</v>
      </c>
      <c r="G327" s="13" t="s">
        <v>41</v>
      </c>
      <c r="H327" s="65" t="s">
        <v>77</v>
      </c>
      <c r="I327" s="137" t="s">
        <v>101</v>
      </c>
      <c r="J327" s="139" t="s">
        <v>102</v>
      </c>
      <c r="K327" s="127" t="s">
        <v>98</v>
      </c>
      <c r="L327" s="13" t="s">
        <v>100</v>
      </c>
      <c r="M327" s="13" t="s">
        <v>82</v>
      </c>
      <c r="N327" s="13" t="s">
        <v>31</v>
      </c>
      <c r="O327" s="14" t="s">
        <v>69</v>
      </c>
      <c r="P327" s="13" t="s">
        <v>72</v>
      </c>
      <c r="Q327" s="13" t="s">
        <v>103</v>
      </c>
      <c r="R327" s="65" t="s">
        <v>77</v>
      </c>
      <c r="S327" s="137" t="s">
        <v>101</v>
      </c>
      <c r="T327" s="139" t="s">
        <v>102</v>
      </c>
      <c r="U327" s="12" t="s">
        <v>98</v>
      </c>
      <c r="V327" s="13" t="s">
        <v>100</v>
      </c>
      <c r="W327" s="13" t="s">
        <v>32</v>
      </c>
      <c r="X327" s="13" t="s">
        <v>69</v>
      </c>
      <c r="Y327" s="13"/>
      <c r="Z327" s="838">
        <f>X315*Y315*F315</f>
        <v>8.4839000000000002</v>
      </c>
      <c r="AA327" s="732">
        <f>ROUNDUP(Z327,0)</f>
        <v>9</v>
      </c>
      <c r="AB327" s="13" t="s">
        <v>72</v>
      </c>
      <c r="AC327" s="13" t="s">
        <v>103</v>
      </c>
      <c r="AD327" s="13"/>
      <c r="AE327" s="65" t="s">
        <v>77</v>
      </c>
      <c r="AF327" s="137" t="s">
        <v>101</v>
      </c>
      <c r="AG327" s="139" t="s">
        <v>102</v>
      </c>
      <c r="AH327" s="12" t="s">
        <v>98</v>
      </c>
      <c r="AI327" s="13" t="s">
        <v>100</v>
      </c>
      <c r="AJ327" s="13" t="s">
        <v>33</v>
      </c>
      <c r="AK327" s="13" t="s">
        <v>69</v>
      </c>
      <c r="AL327" s="18"/>
      <c r="AM327" s="13" t="s">
        <v>72</v>
      </c>
      <c r="AN327" s="13" t="s">
        <v>103</v>
      </c>
      <c r="AO327" s="13"/>
      <c r="AP327" s="65" t="s">
        <v>77</v>
      </c>
      <c r="AQ327" s="137" t="s">
        <v>101</v>
      </c>
      <c r="AR327" s="139" t="s">
        <v>102</v>
      </c>
      <c r="AS327" s="12" t="s">
        <v>98</v>
      </c>
      <c r="AT327" s="13" t="s">
        <v>100</v>
      </c>
      <c r="AU327" s="13" t="s">
        <v>33</v>
      </c>
      <c r="AV327" s="13" t="s">
        <v>69</v>
      </c>
      <c r="AW327" s="18"/>
      <c r="AX327" s="13" t="s">
        <v>72</v>
      </c>
      <c r="AY327" s="13" t="s">
        <v>103</v>
      </c>
      <c r="AZ327" s="13"/>
      <c r="BA327" s="65" t="s">
        <v>77</v>
      </c>
      <c r="BB327" s="137" t="s">
        <v>101</v>
      </c>
      <c r="BC327" s="139" t="s">
        <v>102</v>
      </c>
      <c r="BD327" s="12" t="s">
        <v>98</v>
      </c>
      <c r="BE327" s="13" t="s">
        <v>100</v>
      </c>
      <c r="BF327" s="13" t="s">
        <v>33</v>
      </c>
      <c r="BG327" s="13" t="s">
        <v>69</v>
      </c>
      <c r="BH327" s="18"/>
      <c r="BI327" s="13" t="s">
        <v>159</v>
      </c>
      <c r="BJ327" s="12"/>
      <c r="BK327" s="276" t="s">
        <v>95</v>
      </c>
      <c r="BL327" s="349"/>
      <c r="BM327" s="276" t="s">
        <v>186</v>
      </c>
      <c r="BN327" s="285">
        <f>BN326*'Rate Tables'!P$8</f>
        <v>0</v>
      </c>
      <c r="BO327" s="15"/>
    </row>
    <row r="328" spans="1:67" x14ac:dyDescent="0.25">
      <c r="A328" s="145"/>
      <c r="B328" s="12"/>
      <c r="C328" s="115"/>
      <c r="D328" s="12"/>
      <c r="E328" s="211">
        <f>IF(H355&lt;=H356,H355,H356)</f>
        <v>0</v>
      </c>
      <c r="F328" s="19">
        <f>IF($D$4=2022,1,0)</f>
        <v>0</v>
      </c>
      <c r="G328" s="178">
        <f>IF($B355="Yes",$C$5,$I354)</f>
        <v>12</v>
      </c>
      <c r="H328" s="36">
        <f>H311</f>
        <v>3</v>
      </c>
      <c r="I328" s="138">
        <f>VLOOKUP(J311,'Lookup Tables'!$AB$22:$AC$31,2,FALSE)</f>
        <v>32</v>
      </c>
      <c r="J328" s="140">
        <f>VLOOKUP(U311,'Lookup Tables'!$AB$32:$AC$41,2,FALSE)</f>
        <v>33</v>
      </c>
      <c r="K328" s="123">
        <f>E328-J328</f>
        <v>-33</v>
      </c>
      <c r="L328" s="12">
        <f>IF(K328&gt;0,1,0)</f>
        <v>0</v>
      </c>
      <c r="M328" s="119">
        <f>M311</f>
        <v>0</v>
      </c>
      <c r="N328" s="15">
        <f>((((('Rate Tables'!B81*9)*0.02778)/5)*K328)*L328)*F328*M328*BK330</f>
        <v>0</v>
      </c>
      <c r="O328" s="28">
        <f>O311</f>
        <v>12</v>
      </c>
      <c r="P328" s="8">
        <f>IF(O328&lt;0,O328*0,1)*O328</f>
        <v>12</v>
      </c>
      <c r="Q328" s="123">
        <f>(E328-K328*F328*L328*M328)</f>
        <v>0</v>
      </c>
      <c r="R328" s="36">
        <f>S311</f>
        <v>3</v>
      </c>
      <c r="S328" s="138">
        <f>VLOOKUP(U311,'Lookup Tables'!$AB$22:$AC$31,2,FALSE)</f>
        <v>32</v>
      </c>
      <c r="T328" s="140">
        <f>VLOOKUP(AF311,'Lookup Tables'!$AB$32:$AC$41,2,FALSE)</f>
        <v>33</v>
      </c>
      <c r="U328" s="129">
        <f>Q328-T328</f>
        <v>-33</v>
      </c>
      <c r="V328" s="12">
        <f>IF(U328&gt;0,1,0)</f>
        <v>0</v>
      </c>
      <c r="W328" s="15">
        <f>((('Rate Tables'!C81*9)*0.02778)/5)*U328*F328*V328*BK330</f>
        <v>0</v>
      </c>
      <c r="X328" s="8">
        <f>AA311</f>
        <v>2</v>
      </c>
      <c r="Y328" s="12"/>
      <c r="Z328" s="658">
        <f>X317*Y317*F317</f>
        <v>0</v>
      </c>
      <c r="AA328" s="659">
        <f>ROUNDUP(Z328,0)</f>
        <v>0</v>
      </c>
      <c r="AB328" s="8">
        <f>IF(X328&lt;0,X328*0,1)*X328</f>
        <v>2</v>
      </c>
      <c r="AC328" s="123">
        <f>Q328-(U328*V328)</f>
        <v>0</v>
      </c>
      <c r="AD328" s="12"/>
      <c r="AE328" s="36">
        <f>AE311</f>
        <v>1</v>
      </c>
      <c r="AF328" s="138">
        <f>VLOOKUP(AF311,'Lookup Tables'!$AB$22:$AC$31,2,FALSE)</f>
        <v>32</v>
      </c>
      <c r="AG328" s="140">
        <f>VLOOKUP(AQ311,'Lookup Tables'!$AB$32:$AC$41,2,FALSE)</f>
        <v>0</v>
      </c>
      <c r="AH328" s="125">
        <f>AC328-AG328</f>
        <v>0</v>
      </c>
      <c r="AI328" s="12">
        <f>IF(AH328&gt;0,1,0)</f>
        <v>0</v>
      </c>
      <c r="AJ328" s="15">
        <f>((('Rate Tables'!D81*9)*0.02778)/5)*AH328*AI328*F328*BK330</f>
        <v>0</v>
      </c>
      <c r="AK328" s="8">
        <f>AL311</f>
        <v>0</v>
      </c>
      <c r="AL328" s="18"/>
      <c r="AM328" s="8">
        <f>IF(AK328&lt;0,AK328*0,1)*AK328</f>
        <v>0</v>
      </c>
      <c r="AN328" s="123">
        <f>AC328-(AH328*AI328)</f>
        <v>0</v>
      </c>
      <c r="AO328" s="123"/>
      <c r="AP328" s="36">
        <f>AP311</f>
        <v>3</v>
      </c>
      <c r="AQ328" s="138">
        <f>VLOOKUP(AQ311,'Lookup Tables'!$AB$22:$AC$31,2,FALSE)</f>
        <v>0</v>
      </c>
      <c r="AR328" s="140">
        <f>VLOOKUP(BB311,'Lookup Tables'!$AB$32:$AC$41,2,FALSE)</f>
        <v>0</v>
      </c>
      <c r="AS328" s="125">
        <f>AN328-AR328</f>
        <v>0</v>
      </c>
      <c r="AT328" s="12">
        <f>IF(AS328&gt;0,1,0)</f>
        <v>0</v>
      </c>
      <c r="AU328" s="15">
        <f>((('Rate Tables'!E81*9)*0.02778)/5)*AS328*AT328*F328*BK330</f>
        <v>0</v>
      </c>
      <c r="AV328" s="8">
        <f>AW311</f>
        <v>0</v>
      </c>
      <c r="AW328" s="18"/>
      <c r="AX328" s="8">
        <f>IF(AV328&lt;0,AV328*0,1)*AV328</f>
        <v>0</v>
      </c>
      <c r="AY328" s="123">
        <f>AN328-(AS328*AT328)</f>
        <v>0</v>
      </c>
      <c r="AZ328" s="123"/>
      <c r="BA328" s="36">
        <f>BA311</f>
        <v>3</v>
      </c>
      <c r="BB328" s="138">
        <f>VLOOKUP(BB311,'Lookup Tables'!$AB$22:$AC$31,2,FALSE)</f>
        <v>0</v>
      </c>
      <c r="BC328" s="140">
        <v>0</v>
      </c>
      <c r="BD328" s="125">
        <f>AY328-BC328</f>
        <v>0</v>
      </c>
      <c r="BE328" s="12">
        <f>IF(BD328&gt;0,1,0)</f>
        <v>0</v>
      </c>
      <c r="BF328" s="15">
        <f>((('Rate Tables'!F81*9)*0.02778)/5)*BD328*BE328*F328*BK330</f>
        <v>0</v>
      </c>
      <c r="BG328" s="8">
        <f>BH311</f>
        <v>0</v>
      </c>
      <c r="BH328" s="18"/>
      <c r="BI328" s="19">
        <f>VLOOKUP(B307,'Lookup Tables'!$AK$22:$AM$24,2,0)</f>
        <v>0</v>
      </c>
      <c r="BJ328" s="12"/>
      <c r="BK328" s="308">
        <f>VLOOKUP(BL326,'Lookup Tables'!$AF$22:$AG$24,2,FALSE)</f>
        <v>0</v>
      </c>
      <c r="BL328" s="350"/>
      <c r="BM328" s="12"/>
      <c r="BN328" s="285"/>
      <c r="BO328" s="15"/>
    </row>
    <row r="329" spans="1:67" x14ac:dyDescent="0.25">
      <c r="A329" s="145"/>
      <c r="B329" s="12"/>
      <c r="C329" s="117" t="s">
        <v>597</v>
      </c>
      <c r="D329" s="12"/>
      <c r="E329" s="13" t="s">
        <v>84</v>
      </c>
      <c r="F329" s="13" t="s">
        <v>42</v>
      </c>
      <c r="G329" s="13" t="s">
        <v>41</v>
      </c>
      <c r="H329" s="65" t="s">
        <v>77</v>
      </c>
      <c r="I329" s="137" t="s">
        <v>105</v>
      </c>
      <c r="J329" s="139" t="s">
        <v>106</v>
      </c>
      <c r="K329" s="127" t="s">
        <v>99</v>
      </c>
      <c r="L329" s="13" t="s">
        <v>100</v>
      </c>
      <c r="M329" s="13" t="s">
        <v>82</v>
      </c>
      <c r="N329" s="13" t="s">
        <v>32</v>
      </c>
      <c r="O329" s="14" t="s">
        <v>69</v>
      </c>
      <c r="P329" s="13" t="s">
        <v>72</v>
      </c>
      <c r="Q329" s="13" t="s">
        <v>103</v>
      </c>
      <c r="R329" s="65" t="s">
        <v>77</v>
      </c>
      <c r="S329" s="137" t="s">
        <v>105</v>
      </c>
      <c r="T329" s="139" t="s">
        <v>106</v>
      </c>
      <c r="U329" s="12" t="s">
        <v>98</v>
      </c>
      <c r="V329" s="13" t="s">
        <v>100</v>
      </c>
      <c r="W329" s="13" t="s">
        <v>33</v>
      </c>
      <c r="X329" s="13" t="s">
        <v>69</v>
      </c>
      <c r="Y329" s="13"/>
      <c r="Z329" s="13"/>
      <c r="AA329" s="18"/>
      <c r="AB329" s="13" t="s">
        <v>72</v>
      </c>
      <c r="AC329" s="13" t="s">
        <v>104</v>
      </c>
      <c r="AD329" s="13"/>
      <c r="AE329" s="65" t="s">
        <v>77</v>
      </c>
      <c r="AF329" s="137" t="s">
        <v>105</v>
      </c>
      <c r="AG329" s="139" t="s">
        <v>106</v>
      </c>
      <c r="AH329" s="12" t="s">
        <v>98</v>
      </c>
      <c r="AI329" s="13" t="s">
        <v>100</v>
      </c>
      <c r="AJ329" s="13" t="s">
        <v>34</v>
      </c>
      <c r="AK329" s="13" t="s">
        <v>69</v>
      </c>
      <c r="AL329" s="18"/>
      <c r="AM329" s="13" t="s">
        <v>72</v>
      </c>
      <c r="AN329" s="13" t="s">
        <v>104</v>
      </c>
      <c r="AO329" s="13"/>
      <c r="AP329" s="65" t="s">
        <v>77</v>
      </c>
      <c r="AQ329" s="137" t="s">
        <v>105</v>
      </c>
      <c r="AR329" s="139" t="s">
        <v>106</v>
      </c>
      <c r="AS329" s="12" t="s">
        <v>98</v>
      </c>
      <c r="AT329" s="13" t="s">
        <v>100</v>
      </c>
      <c r="AU329" s="13" t="s">
        <v>34</v>
      </c>
      <c r="AV329" s="13" t="s">
        <v>69</v>
      </c>
      <c r="AW329" s="18"/>
      <c r="AX329" s="13" t="s">
        <v>72</v>
      </c>
      <c r="AY329" s="13" t="s">
        <v>104</v>
      </c>
      <c r="AZ329" s="13"/>
      <c r="BA329" s="65" t="s">
        <v>77</v>
      </c>
      <c r="BB329" s="137" t="s">
        <v>105</v>
      </c>
      <c r="BC329" s="139" t="s">
        <v>106</v>
      </c>
      <c r="BD329" s="12" t="s">
        <v>98</v>
      </c>
      <c r="BE329" s="13" t="s">
        <v>100</v>
      </c>
      <c r="BF329" s="13" t="s">
        <v>34</v>
      </c>
      <c r="BG329" s="13" t="s">
        <v>69</v>
      </c>
      <c r="BH329" s="18"/>
      <c r="BI329" s="13"/>
      <c r="BJ329" s="12"/>
      <c r="BK329" s="227" t="s">
        <v>126</v>
      </c>
      <c r="BL329" s="349" t="s">
        <v>643</v>
      </c>
      <c r="BM329" s="276" t="s">
        <v>187</v>
      </c>
      <c r="BN329" s="285">
        <f>(((O336+O337+O338+O339+AA336+AA337+AA338+AA339+AL336+AL337+AL338+AL339+AW336+AW337+AW338+AW339+BH336+BH337+BH338+BH339)*BI336)*BN330)*BL332</f>
        <v>0</v>
      </c>
      <c r="BO329" s="15"/>
    </row>
    <row r="330" spans="1:67" x14ac:dyDescent="0.25">
      <c r="A330" s="145"/>
      <c r="B330" s="12"/>
      <c r="C330" s="115"/>
      <c r="D330" s="12"/>
      <c r="E330" s="128">
        <f>E328</f>
        <v>0</v>
      </c>
      <c r="F330" s="19">
        <f>IF($D$4=2023,1,0)</f>
        <v>0</v>
      </c>
      <c r="G330" s="178">
        <f>IF($B355="Yes",$C$5,$I354)</f>
        <v>12</v>
      </c>
      <c r="H330" s="36">
        <f>H313</f>
        <v>3</v>
      </c>
      <c r="I330" s="138">
        <f>VLOOKUP(J313,'Lookup Tables'!$AB$22:$AC$31,2,FALSE)</f>
        <v>32</v>
      </c>
      <c r="J330" s="140">
        <f>VLOOKUP(U313,'Lookup Tables'!$AB$32:$AC$41,2,FALSE)</f>
        <v>33</v>
      </c>
      <c r="K330" s="123">
        <f>E330-J330</f>
        <v>-33</v>
      </c>
      <c r="L330" s="12">
        <f>IF(K330&gt;0,1,0)</f>
        <v>0</v>
      </c>
      <c r="M330" s="119">
        <f>M313</f>
        <v>0</v>
      </c>
      <c r="N330" s="15">
        <f>((((('Rate Tables'!C81*9)*0.02778)/5)*K330)*L330)*F330*M330*BK330</f>
        <v>0</v>
      </c>
      <c r="O330" s="28">
        <f>O313</f>
        <v>12</v>
      </c>
      <c r="P330" s="8">
        <f>IF(O330&lt;0,O330*0,1)*O330</f>
        <v>12</v>
      </c>
      <c r="Q330" s="123">
        <f>(E330-K330*F330*L330*M330)</f>
        <v>0</v>
      </c>
      <c r="R330" s="36">
        <f>S313</f>
        <v>3</v>
      </c>
      <c r="S330" s="138">
        <f>VLOOKUP(U313,'Lookup Tables'!$AB$22:$AC$31,2,FALSE)</f>
        <v>32</v>
      </c>
      <c r="T330" s="140">
        <f>VLOOKUP(AF313,'Lookup Tables'!$AB$32:$AC$41,2,FALSE)</f>
        <v>33</v>
      </c>
      <c r="U330" s="129">
        <f>Q330-T330</f>
        <v>-33</v>
      </c>
      <c r="V330" s="12">
        <f>IF(U330&gt;0,1,0)</f>
        <v>0</v>
      </c>
      <c r="W330" s="15">
        <f>((('Rate Tables'!D81*9)*0.02778)/5)*U330*F330*V330*BK330</f>
        <v>0</v>
      </c>
      <c r="X330" s="8">
        <f>AA313</f>
        <v>2</v>
      </c>
      <c r="Y330" s="12"/>
      <c r="Z330" s="119"/>
      <c r="AA330" s="18"/>
      <c r="AB330" s="8">
        <f>IF(X330&lt;0,X330*0,1)*X330</f>
        <v>2</v>
      </c>
      <c r="AC330" s="123">
        <f>Q330-(U330*V330)</f>
        <v>0</v>
      </c>
      <c r="AD330" s="12"/>
      <c r="AE330" s="36">
        <f>AE313</f>
        <v>1</v>
      </c>
      <c r="AF330" s="138">
        <f>VLOOKUP(AF313,'Lookup Tables'!$AB$22:$AC$31,2,FALSE)</f>
        <v>32</v>
      </c>
      <c r="AG330" s="140">
        <f>VLOOKUP(AQ313,'Lookup Tables'!$AB$32:$AC$41,2,FALSE)</f>
        <v>0</v>
      </c>
      <c r="AH330" s="125">
        <f>AC330-AG330</f>
        <v>0</v>
      </c>
      <c r="AI330" s="12">
        <f>IF(AH330&gt;0,1,0)</f>
        <v>0</v>
      </c>
      <c r="AJ330" s="15">
        <f>((('Rate Tables'!E81*9)*0.02778)/5)*AH330*AI330*F330*BK330</f>
        <v>0</v>
      </c>
      <c r="AK330" s="8">
        <f>AL313</f>
        <v>0</v>
      </c>
      <c r="AL330" s="18"/>
      <c r="AM330" s="8">
        <f>IF(AK330&lt;0,AK330*0,1)*AK330</f>
        <v>0</v>
      </c>
      <c r="AN330" s="123">
        <f>AC330-(AH330*AI330)</f>
        <v>0</v>
      </c>
      <c r="AO330" s="12"/>
      <c r="AP330" s="36">
        <f>AP313</f>
        <v>3</v>
      </c>
      <c r="AQ330" s="138">
        <f>VLOOKUP(AQ313,'Lookup Tables'!$AB$22:$AC$31,2,FALSE)</f>
        <v>0</v>
      </c>
      <c r="AR330" s="140">
        <f>VLOOKUP(BB313,'Lookup Tables'!$AB$32:$AC$41,2,FALSE)</f>
        <v>0</v>
      </c>
      <c r="AS330" s="125">
        <f>AN330-AR330</f>
        <v>0</v>
      </c>
      <c r="AT330" s="12">
        <f>IF(AS330&gt;0,1,0)</f>
        <v>0</v>
      </c>
      <c r="AU330" s="15">
        <f>((('Rate Tables'!F81*9)*0.02778)/5)*AS330*AT330*F330*BK330</f>
        <v>0</v>
      </c>
      <c r="AV330" s="8">
        <f>AW313</f>
        <v>0</v>
      </c>
      <c r="AW330" s="18"/>
      <c r="AX330" s="8">
        <f>IF(AV330&lt;0,AV330*0,1)*AV330</f>
        <v>0</v>
      </c>
      <c r="AY330" s="123">
        <f>AN330-(AS330*AT330)</f>
        <v>0</v>
      </c>
      <c r="AZ330" s="12"/>
      <c r="BA330" s="36">
        <f>BA313</f>
        <v>3</v>
      </c>
      <c r="BB330" s="138">
        <f>VLOOKUP(BB313,'Lookup Tables'!$AB$22:$AC$31,2,FALSE)</f>
        <v>0</v>
      </c>
      <c r="BC330" s="140">
        <v>0</v>
      </c>
      <c r="BD330" s="125">
        <f>AY330-BC330</f>
        <v>0</v>
      </c>
      <c r="BE330" s="12">
        <f>IF(BD330&gt;0,1,0)</f>
        <v>0</v>
      </c>
      <c r="BF330" s="15">
        <f>((('Rate Tables'!G81*9)*0.02778)/5)*BD330*BE330*F330*BK330</f>
        <v>0</v>
      </c>
      <c r="BG330" s="8">
        <f>BH313</f>
        <v>0</v>
      </c>
      <c r="BH330" s="18"/>
      <c r="BI330" s="19"/>
      <c r="BJ330" s="12"/>
      <c r="BK330" s="319">
        <f>VLOOKUP(BL326,'Lookup Tables'!$AF$26:$AG$28,2,0)</f>
        <v>0</v>
      </c>
      <c r="BL330" s="350" t="s">
        <v>644</v>
      </c>
      <c r="BM330" s="227" t="s">
        <v>582</v>
      </c>
      <c r="BN330" s="663">
        <f>IF(BN326&gt;0,1,0)</f>
        <v>0</v>
      </c>
      <c r="BO330" s="15"/>
    </row>
    <row r="331" spans="1:67" x14ac:dyDescent="0.25">
      <c r="A331" s="145"/>
      <c r="B331" s="12"/>
      <c r="C331" s="117" t="s">
        <v>664</v>
      </c>
      <c r="D331" s="12"/>
      <c r="E331" s="13" t="s">
        <v>84</v>
      </c>
      <c r="F331" s="13" t="s">
        <v>42</v>
      </c>
      <c r="G331" s="13" t="s">
        <v>41</v>
      </c>
      <c r="H331" s="65" t="s">
        <v>77</v>
      </c>
      <c r="I331" s="137" t="s">
        <v>105</v>
      </c>
      <c r="J331" s="139" t="s">
        <v>106</v>
      </c>
      <c r="K331" s="127" t="s">
        <v>99</v>
      </c>
      <c r="L331" s="13" t="s">
        <v>100</v>
      </c>
      <c r="M331" s="13" t="s">
        <v>82</v>
      </c>
      <c r="N331" s="13" t="s">
        <v>32</v>
      </c>
      <c r="O331" s="14" t="s">
        <v>69</v>
      </c>
      <c r="P331" s="13" t="s">
        <v>72</v>
      </c>
      <c r="Q331" s="13" t="s">
        <v>103</v>
      </c>
      <c r="R331" s="65" t="s">
        <v>77</v>
      </c>
      <c r="S331" s="137" t="s">
        <v>105</v>
      </c>
      <c r="T331" s="139" t="s">
        <v>106</v>
      </c>
      <c r="U331" s="12" t="s">
        <v>98</v>
      </c>
      <c r="V331" s="13" t="s">
        <v>100</v>
      </c>
      <c r="W331" s="13" t="s">
        <v>33</v>
      </c>
      <c r="X331" s="13" t="s">
        <v>69</v>
      </c>
      <c r="Y331" s="13"/>
      <c r="Z331" s="13"/>
      <c r="AA331" s="18"/>
      <c r="AB331" s="13" t="s">
        <v>72</v>
      </c>
      <c r="AC331" s="13" t="s">
        <v>104</v>
      </c>
      <c r="AD331" s="13"/>
      <c r="AE331" s="65" t="s">
        <v>77</v>
      </c>
      <c r="AF331" s="137" t="s">
        <v>105</v>
      </c>
      <c r="AG331" s="139" t="s">
        <v>106</v>
      </c>
      <c r="AH331" s="12" t="s">
        <v>98</v>
      </c>
      <c r="AI331" s="13" t="s">
        <v>100</v>
      </c>
      <c r="AJ331" s="13" t="s">
        <v>34</v>
      </c>
      <c r="AK331" s="13" t="s">
        <v>69</v>
      </c>
      <c r="AL331" s="18"/>
      <c r="AM331" s="13" t="s">
        <v>72</v>
      </c>
      <c r="AN331" s="13" t="s">
        <v>104</v>
      </c>
      <c r="AO331" s="13"/>
      <c r="AP331" s="65" t="s">
        <v>77</v>
      </c>
      <c r="AQ331" s="137" t="s">
        <v>105</v>
      </c>
      <c r="AR331" s="139" t="s">
        <v>106</v>
      </c>
      <c r="AS331" s="12" t="s">
        <v>98</v>
      </c>
      <c r="AT331" s="13" t="s">
        <v>100</v>
      </c>
      <c r="AU331" s="13" t="s">
        <v>34</v>
      </c>
      <c r="AV331" s="13" t="s">
        <v>69</v>
      </c>
      <c r="AW331" s="18"/>
      <c r="AX331" s="13" t="s">
        <v>72</v>
      </c>
      <c r="AY331" s="13" t="s">
        <v>104</v>
      </c>
      <c r="AZ331" s="13"/>
      <c r="BA331" s="65" t="s">
        <v>77</v>
      </c>
      <c r="BB331" s="137" t="s">
        <v>105</v>
      </c>
      <c r="BC331" s="139" t="s">
        <v>106</v>
      </c>
      <c r="BD331" s="12" t="s">
        <v>98</v>
      </c>
      <c r="BE331" s="13" t="s">
        <v>100</v>
      </c>
      <c r="BF331" s="13" t="s">
        <v>34</v>
      </c>
      <c r="BG331" s="13" t="s">
        <v>69</v>
      </c>
      <c r="BH331" s="18"/>
      <c r="BI331" s="19"/>
      <c r="BJ331" s="12"/>
      <c r="BK331" s="227"/>
      <c r="BL331" s="358" t="str">
        <f>IF(BL326="50% sum","no",Personnel!W86)</f>
        <v>No</v>
      </c>
      <c r="BM331" s="12"/>
      <c r="BN331" s="285"/>
      <c r="BO331" s="15"/>
    </row>
    <row r="332" spans="1:67" x14ac:dyDescent="0.25">
      <c r="A332" s="145"/>
      <c r="B332" s="12"/>
      <c r="C332" s="115"/>
      <c r="D332" s="12"/>
      <c r="E332" s="128">
        <f>E330</f>
        <v>0</v>
      </c>
      <c r="F332" s="19">
        <f>IF($D$4=2024,1,0)</f>
        <v>1</v>
      </c>
      <c r="G332" s="178">
        <f>IF($B355="Yes",$C$5,$I354)</f>
        <v>12</v>
      </c>
      <c r="H332" s="36">
        <f>H315</f>
        <v>3</v>
      </c>
      <c r="I332" s="138">
        <f>VLOOKUP(J315,'Lookup Tables'!$AB$22:$AC$31,2,FALSE)</f>
        <v>32</v>
      </c>
      <c r="J332" s="140">
        <f>VLOOKUP(U315,'Lookup Tables'!$AB$32:$AC$41,2,FALSE)</f>
        <v>33</v>
      </c>
      <c r="K332" s="123">
        <f>E332-J332</f>
        <v>-33</v>
      </c>
      <c r="L332" s="12">
        <f>IF(K332&gt;0,1,0)</f>
        <v>0</v>
      </c>
      <c r="M332" s="119">
        <f>M315</f>
        <v>0</v>
      </c>
      <c r="N332" s="15">
        <f>((((('Rate Tables'!D81*9)*0.02778)/5)*K332)*L332)*F332*M332*BK330</f>
        <v>0</v>
      </c>
      <c r="O332" s="28">
        <f>O315</f>
        <v>12</v>
      </c>
      <c r="P332" s="8">
        <f>IF(O332&lt;0,O332*0,1)*O332</f>
        <v>12</v>
      </c>
      <c r="Q332" s="123">
        <f>(E332-K332*F332*L332*M332)</f>
        <v>0</v>
      </c>
      <c r="R332" s="36">
        <f>S315</f>
        <v>3</v>
      </c>
      <c r="S332" s="138">
        <f>VLOOKUP(U315,'Lookup Tables'!$AB$22:$AC$31,2,FALSE)</f>
        <v>32</v>
      </c>
      <c r="T332" s="140">
        <f>VLOOKUP(AF315,'Lookup Tables'!$AB$32:$AC$41,2,FALSE)</f>
        <v>33</v>
      </c>
      <c r="U332" s="129">
        <f>Q332-T332</f>
        <v>-33</v>
      </c>
      <c r="V332" s="12">
        <f>IF(U332&gt;0,1,0)</f>
        <v>0</v>
      </c>
      <c r="W332" s="15">
        <f>((('Rate Tables'!E81*9)*0.02778)/5)*U332*F332*V332*BK330</f>
        <v>0</v>
      </c>
      <c r="X332" s="8">
        <f>AA315</f>
        <v>2</v>
      </c>
      <c r="Y332" s="12"/>
      <c r="Z332" s="119"/>
      <c r="AA332" s="18"/>
      <c r="AB332" s="8">
        <f>IF(X332&lt;0,X332*0,1)*X332</f>
        <v>2</v>
      </c>
      <c r="AC332" s="123">
        <f>Q332-(U332*V332)</f>
        <v>0</v>
      </c>
      <c r="AD332" s="12"/>
      <c r="AE332" s="36">
        <f>AE315</f>
        <v>1</v>
      </c>
      <c r="AF332" s="138">
        <f>VLOOKUP(AF315,'Lookup Tables'!$AB$22:$AC$31,2,FALSE)</f>
        <v>32</v>
      </c>
      <c r="AG332" s="140">
        <f>VLOOKUP(AQ315,'Lookup Tables'!$AB$32:$AC$41,2,FALSE)</f>
        <v>0</v>
      </c>
      <c r="AH332" s="125">
        <f>AC332-AG332</f>
        <v>0</v>
      </c>
      <c r="AI332" s="12">
        <f>IF(AH332&gt;0,1,0)</f>
        <v>0</v>
      </c>
      <c r="AJ332" s="15">
        <f>((('Rate Tables'!F81*9)*0.02778)/5)*AH332*AI332*F332*BK330</f>
        <v>0</v>
      </c>
      <c r="AK332" s="8">
        <f>AL315</f>
        <v>0</v>
      </c>
      <c r="AL332" s="18"/>
      <c r="AM332" s="8">
        <f>IF(AK332&lt;0,AK332*0,1)*AK332</f>
        <v>0</v>
      </c>
      <c r="AN332" s="123">
        <f>AC332-(AH332*AI332)</f>
        <v>0</v>
      </c>
      <c r="AO332" s="12"/>
      <c r="AP332" s="36">
        <f>AP315</f>
        <v>3</v>
      </c>
      <c r="AQ332" s="138">
        <f>VLOOKUP(AQ315,'Lookup Tables'!$AB$22:$AC$31,2,FALSE)</f>
        <v>0</v>
      </c>
      <c r="AR332" s="140">
        <f>VLOOKUP(BB315,'Lookup Tables'!$AB$32:$AC$41,2,FALSE)</f>
        <v>0</v>
      </c>
      <c r="AS332" s="125">
        <f>AN332-AR332</f>
        <v>0</v>
      </c>
      <c r="AT332" s="12">
        <f>IF(AS332&gt;0,1,0)</f>
        <v>0</v>
      </c>
      <c r="AU332" s="15">
        <f>((('Rate Tables'!G81*9)*0.02778)/5)*AS332*AT332*F332*BK330</f>
        <v>0</v>
      </c>
      <c r="AV332" s="8">
        <f>AW315</f>
        <v>0</v>
      </c>
      <c r="AW332" s="18"/>
      <c r="AX332" s="8">
        <f>IF(AV332&lt;0,AV332*0,1)*AV332</f>
        <v>0</v>
      </c>
      <c r="AY332" s="123">
        <f>AN332-(AS332*AT332)</f>
        <v>0</v>
      </c>
      <c r="AZ332" s="12"/>
      <c r="BA332" s="36">
        <f>BA315</f>
        <v>3</v>
      </c>
      <c r="BB332" s="138">
        <f>VLOOKUP(BB315,'Lookup Tables'!$AB$22:$AC$31,2,FALSE)</f>
        <v>0</v>
      </c>
      <c r="BC332" s="140">
        <v>0</v>
      </c>
      <c r="BD332" s="125">
        <f>AY332-BC332</f>
        <v>0</v>
      </c>
      <c r="BE332" s="12">
        <f>IF(BD332&gt;0,1,0)</f>
        <v>0</v>
      </c>
      <c r="BF332" s="15">
        <f>((('Rate Tables'!H81*9)*0.02778)/5)*BD332*BE332*F332*BK330</f>
        <v>0</v>
      </c>
      <c r="BG332" s="8">
        <f>BH315</f>
        <v>0</v>
      </c>
      <c r="BH332" s="18"/>
      <c r="BI332" s="19"/>
      <c r="BJ332" s="12"/>
      <c r="BK332" s="227"/>
      <c r="BL332" s="349">
        <f>IF(BL331="yes",0.5,1)</f>
        <v>1</v>
      </c>
      <c r="BM332" s="12"/>
      <c r="BN332" s="285"/>
      <c r="BO332" s="15"/>
    </row>
    <row r="333" spans="1:67" x14ac:dyDescent="0.25">
      <c r="A333" s="145"/>
      <c r="B333" s="12"/>
      <c r="C333" s="819" t="s">
        <v>732</v>
      </c>
      <c r="D333" s="12"/>
      <c r="E333" s="13" t="s">
        <v>84</v>
      </c>
      <c r="F333" s="13" t="s">
        <v>42</v>
      </c>
      <c r="G333" s="13" t="s">
        <v>41</v>
      </c>
      <c r="H333" s="65" t="s">
        <v>77</v>
      </c>
      <c r="I333" s="137" t="s">
        <v>105</v>
      </c>
      <c r="J333" s="139" t="s">
        <v>106</v>
      </c>
      <c r="K333" s="127" t="s">
        <v>99</v>
      </c>
      <c r="L333" s="13" t="s">
        <v>100</v>
      </c>
      <c r="M333" s="13" t="s">
        <v>82</v>
      </c>
      <c r="N333" s="13" t="s">
        <v>32</v>
      </c>
      <c r="O333" s="14" t="s">
        <v>69</v>
      </c>
      <c r="P333" s="13" t="s">
        <v>72</v>
      </c>
      <c r="Q333" s="13" t="s">
        <v>103</v>
      </c>
      <c r="R333" s="65" t="s">
        <v>77</v>
      </c>
      <c r="S333" s="137" t="s">
        <v>105</v>
      </c>
      <c r="T333" s="139" t="s">
        <v>106</v>
      </c>
      <c r="U333" s="12" t="s">
        <v>98</v>
      </c>
      <c r="V333" s="13" t="s">
        <v>100</v>
      </c>
      <c r="W333" s="13" t="s">
        <v>33</v>
      </c>
      <c r="X333" s="13" t="s">
        <v>69</v>
      </c>
      <c r="Y333" s="13"/>
      <c r="Z333" s="13"/>
      <c r="AA333" s="18"/>
      <c r="AB333" s="13" t="s">
        <v>72</v>
      </c>
      <c r="AC333" s="13" t="s">
        <v>104</v>
      </c>
      <c r="AD333" s="13"/>
      <c r="AE333" s="65" t="s">
        <v>77</v>
      </c>
      <c r="AF333" s="137" t="s">
        <v>105</v>
      </c>
      <c r="AG333" s="139" t="s">
        <v>106</v>
      </c>
      <c r="AH333" s="12" t="s">
        <v>98</v>
      </c>
      <c r="AI333" s="13" t="s">
        <v>100</v>
      </c>
      <c r="AJ333" s="13" t="s">
        <v>34</v>
      </c>
      <c r="AK333" s="13" t="s">
        <v>69</v>
      </c>
      <c r="AL333" s="18"/>
      <c r="AM333" s="13" t="s">
        <v>72</v>
      </c>
      <c r="AN333" s="13" t="s">
        <v>104</v>
      </c>
      <c r="AO333" s="13"/>
      <c r="AP333" s="65" t="s">
        <v>77</v>
      </c>
      <c r="AQ333" s="137" t="s">
        <v>105</v>
      </c>
      <c r="AR333" s="139" t="s">
        <v>106</v>
      </c>
      <c r="AS333" s="12" t="s">
        <v>98</v>
      </c>
      <c r="AT333" s="13" t="s">
        <v>100</v>
      </c>
      <c r="AU333" s="13" t="s">
        <v>34</v>
      </c>
      <c r="AV333" s="13" t="s">
        <v>69</v>
      </c>
      <c r="AW333" s="18"/>
      <c r="AX333" s="13" t="s">
        <v>72</v>
      </c>
      <c r="AY333" s="13" t="s">
        <v>104</v>
      </c>
      <c r="AZ333" s="13"/>
      <c r="BA333" s="65" t="s">
        <v>77</v>
      </c>
      <c r="BB333" s="137" t="s">
        <v>105</v>
      </c>
      <c r="BC333" s="139" t="s">
        <v>106</v>
      </c>
      <c r="BD333" s="12" t="s">
        <v>98</v>
      </c>
      <c r="BE333" s="13" t="s">
        <v>100</v>
      </c>
      <c r="BF333" s="13" t="s">
        <v>34</v>
      </c>
      <c r="BG333" s="13" t="s">
        <v>69</v>
      </c>
      <c r="BH333" s="18"/>
      <c r="BI333" s="19"/>
      <c r="BJ333" s="12"/>
      <c r="BK333" s="227"/>
      <c r="BL333" s="349"/>
      <c r="BM333" s="12"/>
      <c r="BN333" s="285"/>
      <c r="BO333" s="15"/>
    </row>
    <row r="334" spans="1:67" x14ac:dyDescent="0.25">
      <c r="A334" s="145"/>
      <c r="B334" s="12"/>
      <c r="C334" s="115"/>
      <c r="D334" s="12"/>
      <c r="E334" s="128">
        <f>E332</f>
        <v>0</v>
      </c>
      <c r="F334" s="19">
        <f>IF($D$4=2025,1,0)</f>
        <v>0</v>
      </c>
      <c r="G334" s="178">
        <f>IF($B355="Yes",$C$5,$I354)</f>
        <v>12</v>
      </c>
      <c r="H334" s="36">
        <f>H317</f>
        <v>3</v>
      </c>
      <c r="I334" s="138">
        <f>VLOOKUP(J317,'Lookup Tables'!$AB$22:$AC$31,2,FALSE)</f>
        <v>32</v>
      </c>
      <c r="J334" s="140">
        <f>VLOOKUP(U317,'Lookup Tables'!$AB$32:$AC$41,2,FALSE)</f>
        <v>33</v>
      </c>
      <c r="K334" s="123">
        <f>E334-J334</f>
        <v>-33</v>
      </c>
      <c r="L334" s="12">
        <f>IF(K334&gt;0,1,0)</f>
        <v>0</v>
      </c>
      <c r="M334" s="119">
        <f>M317</f>
        <v>0</v>
      </c>
      <c r="N334" s="15">
        <f>((((('Rate Tables'!E81*9)*0.02778)/5)*K334)*L334)*F334*M334*BK330</f>
        <v>0</v>
      </c>
      <c r="O334" s="28">
        <f>O317</f>
        <v>12</v>
      </c>
      <c r="P334" s="8">
        <f>IF(O334&lt;0,O334*0,1)*O334</f>
        <v>12</v>
      </c>
      <c r="Q334" s="123">
        <f>(E334-K334*F334*L334*M334)</f>
        <v>0</v>
      </c>
      <c r="R334" s="36">
        <f>S317</f>
        <v>3</v>
      </c>
      <c r="S334" s="138">
        <f>VLOOKUP(U317,'Lookup Tables'!$AB$22:$AC$31,2,FALSE)</f>
        <v>32</v>
      </c>
      <c r="T334" s="140">
        <f>VLOOKUP(AF317,'Lookup Tables'!$AB$32:$AC$41,2,FALSE)</f>
        <v>33</v>
      </c>
      <c r="U334" s="129">
        <f>Q334-T334</f>
        <v>-33</v>
      </c>
      <c r="V334" s="12">
        <f>IF(U334&gt;0,1,0)</f>
        <v>0</v>
      </c>
      <c r="W334" s="15">
        <f>((('Rate Tables'!F81*9)*0.02778)/5)*U334*F334*V334*BK330</f>
        <v>0</v>
      </c>
      <c r="X334" s="8">
        <f>AA317</f>
        <v>2</v>
      </c>
      <c r="Y334" s="12"/>
      <c r="Z334" s="119"/>
      <c r="AA334" s="18"/>
      <c r="AB334" s="8">
        <f>IF(X334&lt;0,X334*0,1)*X334</f>
        <v>2</v>
      </c>
      <c r="AC334" s="123">
        <f>Q334-(U334*V334)</f>
        <v>0</v>
      </c>
      <c r="AD334" s="12"/>
      <c r="AE334" s="36">
        <f>AE317</f>
        <v>1</v>
      </c>
      <c r="AF334" s="138">
        <f>VLOOKUP(AF317,'Lookup Tables'!$AB$22:$AC$31,2,FALSE)</f>
        <v>32</v>
      </c>
      <c r="AG334" s="140">
        <f>VLOOKUP(AQ317,'Lookup Tables'!$AB$32:$AC$41,2,FALSE)</f>
        <v>0</v>
      </c>
      <c r="AH334" s="125">
        <f>AC334-AG334</f>
        <v>0</v>
      </c>
      <c r="AI334" s="12">
        <f>IF(AH334&gt;0,1,0)</f>
        <v>0</v>
      </c>
      <c r="AJ334" s="15">
        <f>((('Rate Tables'!G81*9)*0.02778)/5)*AH334*AI334*F334*BK330</f>
        <v>0</v>
      </c>
      <c r="AK334" s="8">
        <f>AL317</f>
        <v>0</v>
      </c>
      <c r="AL334" s="18"/>
      <c r="AM334" s="8">
        <f>IF(AK334&lt;0,AK334*0,1)*AK334</f>
        <v>0</v>
      </c>
      <c r="AN334" s="123">
        <f>AC334-(AH334*AI334)</f>
        <v>0</v>
      </c>
      <c r="AO334" s="12"/>
      <c r="AP334" s="36">
        <f>AP317</f>
        <v>3</v>
      </c>
      <c r="AQ334" s="138">
        <f>VLOOKUP(AQ317,'Lookup Tables'!$AB$22:$AC$31,2,FALSE)</f>
        <v>0</v>
      </c>
      <c r="AR334" s="140">
        <f>VLOOKUP(BB317,'Lookup Tables'!$AB$32:$AC$41,2,FALSE)</f>
        <v>0</v>
      </c>
      <c r="AS334" s="125">
        <f>AN334-AR334</f>
        <v>0</v>
      </c>
      <c r="AT334" s="12">
        <f>IF(AS334&gt;0,1,0)</f>
        <v>0</v>
      </c>
      <c r="AU334" s="15">
        <f>((('Rate Tables'!H81*9)*0.02778)/5)*AS334*AT334*F334*BK330</f>
        <v>0</v>
      </c>
      <c r="AV334" s="8">
        <f>AW317</f>
        <v>0</v>
      </c>
      <c r="AW334" s="18"/>
      <c r="AX334" s="8">
        <f>IF(AV334&lt;0,AV334*0,1)*AV334</f>
        <v>0</v>
      </c>
      <c r="AY334" s="123">
        <f>AN334-(AS334*AT334)</f>
        <v>0</v>
      </c>
      <c r="AZ334" s="12"/>
      <c r="BA334" s="36">
        <f>BA317</f>
        <v>3</v>
      </c>
      <c r="BB334" s="138">
        <f>VLOOKUP(BB317,'Lookup Tables'!$AB$22:$AC$31,2,FALSE)</f>
        <v>0</v>
      </c>
      <c r="BC334" s="140">
        <v>0</v>
      </c>
      <c r="BD334" s="125">
        <f>AY334-BC334</f>
        <v>0</v>
      </c>
      <c r="BE334" s="12">
        <f>IF(BD334&gt;0,1,0)</f>
        <v>0</v>
      </c>
      <c r="BF334" s="15">
        <f>((('Rate Tables'!I81*9)*0.02778)/5)*BD334*BE334*F334*BK330</f>
        <v>0</v>
      </c>
      <c r="BG334" s="8">
        <f>BH317</f>
        <v>0</v>
      </c>
      <c r="BH334" s="18"/>
      <c r="BI334" s="19"/>
      <c r="BJ334" s="12"/>
      <c r="BK334" s="227"/>
      <c r="BL334" s="349"/>
      <c r="BM334" s="12"/>
      <c r="BN334" s="285"/>
      <c r="BO334" s="15"/>
    </row>
    <row r="335" spans="1:67" x14ac:dyDescent="0.25">
      <c r="A335" s="145"/>
      <c r="B335" s="12"/>
      <c r="C335" s="114"/>
      <c r="D335" s="12"/>
      <c r="E335" s="12"/>
      <c r="F335" s="12"/>
      <c r="G335" s="12"/>
      <c r="H335" s="12"/>
      <c r="I335" s="12" t="s">
        <v>641</v>
      </c>
      <c r="J335" s="12" t="s">
        <v>642</v>
      </c>
      <c r="K335" s="12" t="s">
        <v>164</v>
      </c>
      <c r="L335" s="13" t="s">
        <v>165</v>
      </c>
      <c r="M335" s="608" t="s">
        <v>128</v>
      </c>
      <c r="N335" s="147" t="s">
        <v>129</v>
      </c>
      <c r="O335" s="135" t="s">
        <v>130</v>
      </c>
      <c r="P335" s="12"/>
      <c r="Q335" s="12"/>
      <c r="R335" s="12"/>
      <c r="S335" s="12"/>
      <c r="T335" s="12"/>
      <c r="U335" s="12"/>
      <c r="V335" s="12" t="s">
        <v>166</v>
      </c>
      <c r="W335" s="12" t="s">
        <v>163</v>
      </c>
      <c r="X335" s="13" t="s">
        <v>165</v>
      </c>
      <c r="Y335" s="650" t="s">
        <v>128</v>
      </c>
      <c r="Z335" s="13" t="s">
        <v>129</v>
      </c>
      <c r="AA335" s="135" t="s">
        <v>130</v>
      </c>
      <c r="AB335" s="12"/>
      <c r="AC335" s="12"/>
      <c r="AD335" s="12"/>
      <c r="AE335" s="12"/>
      <c r="AF335" s="12"/>
      <c r="AG335" s="12" t="s">
        <v>166</v>
      </c>
      <c r="AH335" s="12" t="s">
        <v>163</v>
      </c>
      <c r="AI335" s="13" t="s">
        <v>165</v>
      </c>
      <c r="AJ335" s="650" t="s">
        <v>128</v>
      </c>
      <c r="AK335" s="13" t="s">
        <v>129</v>
      </c>
      <c r="AL335" s="135" t="s">
        <v>130</v>
      </c>
      <c r="AM335" s="11"/>
      <c r="AN335" s="13"/>
      <c r="AO335" s="13"/>
      <c r="AP335" s="13"/>
      <c r="AQ335" s="13"/>
      <c r="AR335" s="12" t="s">
        <v>166</v>
      </c>
      <c r="AS335" s="12" t="s">
        <v>163</v>
      </c>
      <c r="AT335" s="13" t="s">
        <v>165</v>
      </c>
      <c r="AU335" s="650" t="s">
        <v>128</v>
      </c>
      <c r="AV335" s="13" t="s">
        <v>129</v>
      </c>
      <c r="AW335" s="135" t="s">
        <v>130</v>
      </c>
      <c r="AX335" s="153"/>
      <c r="AY335" s="153"/>
      <c r="AZ335" s="153"/>
      <c r="BA335" s="153"/>
      <c r="BB335" s="153"/>
      <c r="BC335" s="12" t="s">
        <v>166</v>
      </c>
      <c r="BD335" s="12" t="s">
        <v>163</v>
      </c>
      <c r="BE335" s="13" t="s">
        <v>165</v>
      </c>
      <c r="BF335" s="650" t="s">
        <v>128</v>
      </c>
      <c r="BG335" s="13" t="s">
        <v>129</v>
      </c>
      <c r="BH335" s="135" t="s">
        <v>130</v>
      </c>
      <c r="BI335" s="13" t="s">
        <v>159</v>
      </c>
      <c r="BJ335" s="12"/>
      <c r="BK335" s="227"/>
      <c r="BL335" s="350"/>
      <c r="BM335" s="12"/>
      <c r="BN335" s="285"/>
      <c r="BO335" s="15"/>
    </row>
    <row r="336" spans="1:67" x14ac:dyDescent="0.25">
      <c r="A336" s="145"/>
      <c r="B336" s="12"/>
      <c r="C336" s="114"/>
      <c r="D336" s="12"/>
      <c r="E336" s="12"/>
      <c r="F336" s="12"/>
      <c r="G336" s="12"/>
      <c r="H336" s="12"/>
      <c r="I336" s="12">
        <f>G311</f>
        <v>12</v>
      </c>
      <c r="J336" s="125">
        <f>BK320</f>
        <v>9</v>
      </c>
      <c r="K336" s="758">
        <f>I336-J336</f>
        <v>3</v>
      </c>
      <c r="L336" s="123">
        <f>V336</f>
        <v>0</v>
      </c>
      <c r="M336" s="609">
        <f>IF(M340&lt;=0,0,ROUNDUP(M340,0))</f>
        <v>3</v>
      </c>
      <c r="N336" s="161">
        <f>'Rate Tables'!$P$17</f>
        <v>910</v>
      </c>
      <c r="O336" s="136">
        <f>(M336*N336)*F328*M328</f>
        <v>0</v>
      </c>
      <c r="P336" s="12"/>
      <c r="Q336" s="12"/>
      <c r="R336" s="12"/>
      <c r="S336" s="12"/>
      <c r="T336" s="12"/>
      <c r="U336" s="12"/>
      <c r="V336" s="12">
        <f>VLOOKUP((U328*V328),'Lookup Tables'!$E$38:$F$103,2,0)</f>
        <v>0</v>
      </c>
      <c r="W336" s="12">
        <f>K336-(M336*M328)</f>
        <v>3</v>
      </c>
      <c r="X336" s="119">
        <f>AG336</f>
        <v>0</v>
      </c>
      <c r="Y336" s="609">
        <f>IF(Y340&lt;=0,0,ROUNDUP(Y340,0))</f>
        <v>3</v>
      </c>
      <c r="Z336" s="129">
        <f>'Rate Tables'!$P$18</f>
        <v>910</v>
      </c>
      <c r="AA336" s="136">
        <f>Y336*Z336*F328*V328</f>
        <v>0</v>
      </c>
      <c r="AB336" s="12"/>
      <c r="AC336" s="12"/>
      <c r="AD336" s="12"/>
      <c r="AE336" s="12"/>
      <c r="AF336" s="12"/>
      <c r="AG336" s="12">
        <f>VLOOKUP(AH328,'Lookup Tables'!$E$38:$F$103,2,0)</f>
        <v>0</v>
      </c>
      <c r="AH336" s="125">
        <f>W336-(Y336*V328)</f>
        <v>3</v>
      </c>
      <c r="AI336" s="119">
        <f>AR336</f>
        <v>0</v>
      </c>
      <c r="AJ336" s="609">
        <f>IF(AJ340&lt;=0,0,ROUNDUP(AJ340,0))</f>
        <v>3</v>
      </c>
      <c r="AK336" s="129">
        <f>'Rate Tables'!$P$19</f>
        <v>910</v>
      </c>
      <c r="AL336" s="136">
        <f>AJ336*AK336*F328*AI328</f>
        <v>0</v>
      </c>
      <c r="AM336" s="11"/>
      <c r="AN336" s="19"/>
      <c r="AO336" s="19"/>
      <c r="AP336" s="19"/>
      <c r="AQ336" s="19"/>
      <c r="AR336" s="12">
        <f>VLOOKUP((AS328*AT328),'Lookup Tables'!$E$38:$F$103,2,0)</f>
        <v>0</v>
      </c>
      <c r="AS336" s="125">
        <f>AH336-(AJ336*AI328)</f>
        <v>3</v>
      </c>
      <c r="AT336" s="119">
        <f>BC336</f>
        <v>0</v>
      </c>
      <c r="AU336" s="609">
        <f>IF(AU340&lt;=0,0,ROUNDUP(AU340,0))</f>
        <v>3</v>
      </c>
      <c r="AV336" s="129">
        <f>'Rate Tables'!$P$20</f>
        <v>928.2</v>
      </c>
      <c r="AW336" s="136">
        <f>AU336*AV336*F328*AT328</f>
        <v>0</v>
      </c>
      <c r="AX336" s="125"/>
      <c r="AY336" s="125"/>
      <c r="AZ336" s="125"/>
      <c r="BA336" s="125"/>
      <c r="BB336" s="125"/>
      <c r="BC336" s="12">
        <f>VLOOKUP((BD328*BE328),'Lookup Tables'!$E$38:$F$103,2,0)</f>
        <v>0</v>
      </c>
      <c r="BD336" s="125">
        <f>AS336-(AU336*AT328)</f>
        <v>3</v>
      </c>
      <c r="BE336" s="119">
        <v>0</v>
      </c>
      <c r="BF336" s="609">
        <f>IF(BF340&lt;=0,0,ROUNDUP(BF340,0))</f>
        <v>3</v>
      </c>
      <c r="BG336" s="129">
        <f>'Rate Tables'!$P$21</f>
        <v>946.76</v>
      </c>
      <c r="BH336" s="136">
        <f>BF336*BG336*F328*BE328</f>
        <v>0</v>
      </c>
      <c r="BI336" s="19">
        <f>VLOOKUP(B307,'Lookup Tables'!$AK$22:$AM$24,2,0)</f>
        <v>0</v>
      </c>
      <c r="BJ336" s="12"/>
      <c r="BK336" s="307"/>
      <c r="BL336" s="358"/>
      <c r="BM336" s="12"/>
      <c r="BN336" s="285"/>
      <c r="BO336" s="15"/>
    </row>
    <row r="337" spans="1:67" x14ac:dyDescent="0.25">
      <c r="A337" s="145"/>
      <c r="B337" s="12"/>
      <c r="C337" s="114"/>
      <c r="D337" s="12"/>
      <c r="E337" s="12"/>
      <c r="F337" s="12"/>
      <c r="G337" s="12"/>
      <c r="H337" s="12"/>
      <c r="I337" s="12">
        <f>G313</f>
        <v>12</v>
      </c>
      <c r="J337" s="125">
        <f>J336</f>
        <v>9</v>
      </c>
      <c r="K337" s="758">
        <f>I337-J337</f>
        <v>3</v>
      </c>
      <c r="L337" s="123">
        <f>V337</f>
        <v>0</v>
      </c>
      <c r="M337" s="609">
        <f>IF(M341&lt;=0,0,ROUNDUP(M341,0))</f>
        <v>3</v>
      </c>
      <c r="N337" s="161">
        <f>'Rate Tables'!$P$18</f>
        <v>910</v>
      </c>
      <c r="O337" s="136">
        <f>(M337*N337)*F330*M330</f>
        <v>0</v>
      </c>
      <c r="P337" s="12"/>
      <c r="Q337" s="12"/>
      <c r="R337" s="12"/>
      <c r="S337" s="12"/>
      <c r="T337" s="12"/>
      <c r="U337" s="12"/>
      <c r="V337" s="12">
        <f>VLOOKUP((U330*V330),'Lookup Tables'!$E$38:$F$103,2,0)</f>
        <v>0</v>
      </c>
      <c r="W337" s="12">
        <f>K337-(M337*M330)</f>
        <v>3</v>
      </c>
      <c r="X337" s="119">
        <f>AG337</f>
        <v>0</v>
      </c>
      <c r="Y337" s="609">
        <f>IF(Y341&lt;=0,0,ROUNDUP(Y341,0))</f>
        <v>3</v>
      </c>
      <c r="Z337" s="129">
        <f>'Rate Tables'!$P$19</f>
        <v>910</v>
      </c>
      <c r="AA337" s="136">
        <f>Y337*Z337*F330*V330</f>
        <v>0</v>
      </c>
      <c r="AB337" s="12"/>
      <c r="AC337" s="12"/>
      <c r="AD337" s="12"/>
      <c r="AE337" s="12"/>
      <c r="AF337" s="12"/>
      <c r="AG337" s="12">
        <f>VLOOKUP(AH330,'Lookup Tables'!$E$38:$F$103,2,0)</f>
        <v>0</v>
      </c>
      <c r="AH337" s="125">
        <f>W337-(Y337*V330)</f>
        <v>3</v>
      </c>
      <c r="AI337" s="119">
        <f>AR337</f>
        <v>0</v>
      </c>
      <c r="AJ337" s="609">
        <f>IF(AJ341&lt;=0,0,ROUNDUP(AJ341,0))</f>
        <v>3</v>
      </c>
      <c r="AK337" s="129">
        <f>'Rate Tables'!$P$20</f>
        <v>928.2</v>
      </c>
      <c r="AL337" s="136">
        <f>AJ337*AK337*F330*AI330</f>
        <v>0</v>
      </c>
      <c r="AM337" s="11"/>
      <c r="AN337" s="19"/>
      <c r="AO337" s="19"/>
      <c r="AP337" s="19"/>
      <c r="AQ337" s="19"/>
      <c r="AR337" s="12">
        <f>VLOOKUP((AS330*AT330),'Lookup Tables'!$E$38:$F$103,2,0)</f>
        <v>0</v>
      </c>
      <c r="AS337" s="125">
        <f>AH337-(AJ337*AI330)</f>
        <v>3</v>
      </c>
      <c r="AT337" s="119">
        <f t="shared" ref="AT337:AT339" si="5">BC337</f>
        <v>0</v>
      </c>
      <c r="AU337" s="609">
        <f>IF(AU341&lt;=0,0,ROUNDUP(AU341,0))</f>
        <v>3</v>
      </c>
      <c r="AV337" s="129">
        <f>'Rate Tables'!$P$21</f>
        <v>946.76</v>
      </c>
      <c r="AW337" s="737">
        <f>AU337*AV337*F330*AT330</f>
        <v>0</v>
      </c>
      <c r="AX337" s="15"/>
      <c r="AY337" s="15"/>
      <c r="AZ337" s="15"/>
      <c r="BA337" s="15"/>
      <c r="BB337" s="15"/>
      <c r="BC337" s="12">
        <f>VLOOKUP((BD330*BE330),'Lookup Tables'!$E$38:$F$103,2,0)</f>
        <v>0</v>
      </c>
      <c r="BD337" s="125">
        <f>AS337-(AU337*AT330)</f>
        <v>3</v>
      </c>
      <c r="BE337" s="119">
        <v>0</v>
      </c>
      <c r="BF337" s="609">
        <f>IF(BF341&lt;=0,0,ROUNDUP(BF341,0))</f>
        <v>3</v>
      </c>
      <c r="BG337" s="129">
        <f>'Rate Tables'!$P$22</f>
        <v>965.7</v>
      </c>
      <c r="BH337" s="737">
        <f>BF337*BG337*F330*BE330</f>
        <v>0</v>
      </c>
      <c r="BI337" s="19"/>
      <c r="BJ337" s="12"/>
      <c r="BK337" s="307"/>
      <c r="BL337" s="349"/>
      <c r="BM337" s="12"/>
      <c r="BN337" s="285"/>
      <c r="BO337" s="15"/>
    </row>
    <row r="338" spans="1:67" x14ac:dyDescent="0.25">
      <c r="A338" s="145"/>
      <c r="B338" s="12"/>
      <c r="C338" s="114"/>
      <c r="D338" s="12"/>
      <c r="E338" s="12"/>
      <c r="F338" s="12"/>
      <c r="G338" s="12"/>
      <c r="H338" s="12"/>
      <c r="I338" s="12">
        <f>G315</f>
        <v>12</v>
      </c>
      <c r="J338" s="125">
        <f>J337</f>
        <v>9</v>
      </c>
      <c r="K338" s="758">
        <f>I338-J338</f>
        <v>3</v>
      </c>
      <c r="L338" s="123">
        <f>V338</f>
        <v>0</v>
      </c>
      <c r="M338" s="609">
        <f>IF(M342&lt;=0,0,ROUNDUP(M342,0))</f>
        <v>3</v>
      </c>
      <c r="N338" s="161">
        <f>'Rate Tables'!$P$19</f>
        <v>910</v>
      </c>
      <c r="O338" s="136">
        <f>(M338*N338)*F332*M332</f>
        <v>0</v>
      </c>
      <c r="P338" s="12"/>
      <c r="Q338" s="12"/>
      <c r="R338" s="12"/>
      <c r="S338" s="12"/>
      <c r="T338" s="12"/>
      <c r="U338" s="12"/>
      <c r="V338" s="12">
        <f>VLOOKUP((U332*V332),'Lookup Tables'!$E$38:$F$103,2,0)</f>
        <v>0</v>
      </c>
      <c r="W338" s="12">
        <f>K338-(M338*M332)</f>
        <v>3</v>
      </c>
      <c r="X338" s="119">
        <f>AG338</f>
        <v>0</v>
      </c>
      <c r="Y338" s="609">
        <f>IF(Y342&lt;=0,0,ROUNDUP(Y342,0))</f>
        <v>3</v>
      </c>
      <c r="Z338" s="129">
        <f>'Rate Tables'!$P$20</f>
        <v>928.2</v>
      </c>
      <c r="AA338" s="737">
        <f>Y338*Z338*F332*V332</f>
        <v>0</v>
      </c>
      <c r="AB338" s="12"/>
      <c r="AC338" s="12"/>
      <c r="AD338" s="12"/>
      <c r="AE338" s="12"/>
      <c r="AF338" s="12"/>
      <c r="AG338" s="12">
        <f>VLOOKUP(AH332,'Lookup Tables'!$E$38:$F$103,2,0)</f>
        <v>0</v>
      </c>
      <c r="AH338" s="125">
        <f>W338-(Y338*V332)</f>
        <v>3</v>
      </c>
      <c r="AI338" s="119">
        <f>AR338</f>
        <v>0</v>
      </c>
      <c r="AJ338" s="609">
        <f>IF(AJ342&lt;=0,0,ROUNDUP(AJ342,0))</f>
        <v>3</v>
      </c>
      <c r="AK338" s="129">
        <f>'Rate Tables'!$P$21</f>
        <v>946.76</v>
      </c>
      <c r="AL338" s="136">
        <f>AJ338*AK338*F332*AI332</f>
        <v>0</v>
      </c>
      <c r="AM338" s="11"/>
      <c r="AN338" s="19"/>
      <c r="AO338" s="19"/>
      <c r="AP338" s="19"/>
      <c r="AQ338" s="19"/>
      <c r="AR338" s="12">
        <f>VLOOKUP((AS332*AT332),'Lookup Tables'!$E$38:$F$103,2,0)</f>
        <v>0</v>
      </c>
      <c r="AS338" s="123">
        <f>AH338-(AJ338*AI332)</f>
        <v>3</v>
      </c>
      <c r="AT338" s="119">
        <f t="shared" si="5"/>
        <v>0</v>
      </c>
      <c r="AU338" s="609">
        <f>IF(AU342&lt;=0,0,ROUNDUP(AU342,0))</f>
        <v>3</v>
      </c>
      <c r="AV338" s="129">
        <f>'Rate Tables'!$P$22</f>
        <v>965.7</v>
      </c>
      <c r="AW338" s="136">
        <f>AU338*AV338*F332*AT332</f>
        <v>0</v>
      </c>
      <c r="AX338" s="125"/>
      <c r="AY338" s="125"/>
      <c r="AZ338" s="125"/>
      <c r="BA338" s="125"/>
      <c r="BB338" s="125"/>
      <c r="BC338" s="12">
        <f>VLOOKUP((BD332*BE332),'Lookup Tables'!$E$38:$F$103,2,0)</f>
        <v>0</v>
      </c>
      <c r="BD338" s="123">
        <f>AS338-(AU338*AT332)</f>
        <v>3</v>
      </c>
      <c r="BE338" s="119">
        <v>0</v>
      </c>
      <c r="BF338" s="609">
        <f>IF(BF342&lt;=0,0,ROUNDUP(BF342,0))</f>
        <v>3</v>
      </c>
      <c r="BG338" s="129">
        <f>'Rate Tables'!$P$23</f>
        <v>985.01</v>
      </c>
      <c r="BH338" s="136">
        <f>BF338*BG338*F332*BE332</f>
        <v>0</v>
      </c>
      <c r="BI338" s="19"/>
      <c r="BJ338" s="12"/>
      <c r="BK338" s="307"/>
      <c r="BL338" s="349"/>
      <c r="BM338" s="12"/>
      <c r="BN338" s="285"/>
      <c r="BO338" s="15"/>
    </row>
    <row r="339" spans="1:67" x14ac:dyDescent="0.25">
      <c r="A339" s="145"/>
      <c r="B339" s="12"/>
      <c r="C339" s="114"/>
      <c r="D339" s="12"/>
      <c r="E339" s="12"/>
      <c r="F339" s="12"/>
      <c r="G339" s="12"/>
      <c r="H339" s="12"/>
      <c r="I339" s="12">
        <f>G317</f>
        <v>12</v>
      </c>
      <c r="J339" s="125">
        <f>J338</f>
        <v>9</v>
      </c>
      <c r="K339" s="758">
        <f>I339-J339</f>
        <v>3</v>
      </c>
      <c r="L339" s="123">
        <f>V339</f>
        <v>0</v>
      </c>
      <c r="M339" s="609">
        <f>IF(M343&lt;=0,0,ROUNDUP(M343,0))</f>
        <v>3</v>
      </c>
      <c r="N339" s="161">
        <f>'Rate Tables'!$P$20</f>
        <v>928.2</v>
      </c>
      <c r="O339" s="136">
        <f>(M339*N339)*F334*M334</f>
        <v>0</v>
      </c>
      <c r="P339" s="12"/>
      <c r="Q339" s="12"/>
      <c r="R339" s="12"/>
      <c r="S339" s="12"/>
      <c r="T339" s="12"/>
      <c r="U339" s="12"/>
      <c r="V339" s="12">
        <f>VLOOKUP((U334*V334),'Lookup Tables'!$E$38:$F$103,2,0)</f>
        <v>0</v>
      </c>
      <c r="W339" s="12">
        <f>K339-(M339*M334)</f>
        <v>3</v>
      </c>
      <c r="X339" s="119">
        <f>AG339</f>
        <v>0</v>
      </c>
      <c r="Y339" s="609">
        <f>IF(Y343&lt;=0,0,ROUNDUP(Y343,0))</f>
        <v>3</v>
      </c>
      <c r="Z339" s="129">
        <f>'Rate Tables'!$P$21</f>
        <v>946.76</v>
      </c>
      <c r="AA339" s="737">
        <f>Y339*Z339*F334*V334</f>
        <v>0</v>
      </c>
      <c r="AB339" s="12"/>
      <c r="AC339" s="12"/>
      <c r="AD339" s="12"/>
      <c r="AE339" s="12"/>
      <c r="AF339" s="12"/>
      <c r="AG339" s="12">
        <f>VLOOKUP(AH334,'Lookup Tables'!$E$38:$F$103,2,0)</f>
        <v>0</v>
      </c>
      <c r="AH339" s="125">
        <f>W339-(Y339*V334)</f>
        <v>3</v>
      </c>
      <c r="AI339" s="119">
        <f>AR339</f>
        <v>0</v>
      </c>
      <c r="AJ339" s="609">
        <f>IF(AJ343&lt;=0,0,ROUNDUP(AJ343,0))</f>
        <v>3</v>
      </c>
      <c r="AK339" s="129">
        <f>'Rate Tables'!$P$22</f>
        <v>965.7</v>
      </c>
      <c r="AL339" s="136">
        <f>AJ339*AK339*F334*AI334</f>
        <v>0</v>
      </c>
      <c r="AM339" s="11"/>
      <c r="AN339" s="19"/>
      <c r="AO339" s="19"/>
      <c r="AP339" s="19"/>
      <c r="AQ339" s="19"/>
      <c r="AR339" s="12">
        <f>VLOOKUP((AS334*AT334),'Lookup Tables'!$E$38:$F$103,2,0)</f>
        <v>0</v>
      </c>
      <c r="AS339" s="123">
        <f>AH339-(AJ339*AI334)</f>
        <v>3</v>
      </c>
      <c r="AT339" s="119">
        <f t="shared" si="5"/>
        <v>0</v>
      </c>
      <c r="AU339" s="609">
        <f>IF(AU343&lt;=0,0,ROUNDUP(AU343,0))</f>
        <v>3</v>
      </c>
      <c r="AV339" s="129">
        <f>'Rate Tables'!$P$23</f>
        <v>985.01</v>
      </c>
      <c r="AW339" s="136">
        <f>AU339*AV339*F334*AT334</f>
        <v>0</v>
      </c>
      <c r="AX339" s="125"/>
      <c r="AY339" s="125"/>
      <c r="AZ339" s="125"/>
      <c r="BA339" s="125"/>
      <c r="BB339" s="125"/>
      <c r="BC339" s="12">
        <f>VLOOKUP((BD334*BE334),'Lookup Tables'!$E$38:$F$103,2,0)</f>
        <v>0</v>
      </c>
      <c r="BD339" s="123">
        <f>AS339-(AU339*AT334)</f>
        <v>3</v>
      </c>
      <c r="BE339" s="119">
        <v>0</v>
      </c>
      <c r="BF339" s="609">
        <f>IF(BF343&lt;=0,0,ROUNDUP(BF343,0))</f>
        <v>3</v>
      </c>
      <c r="BG339" s="129">
        <f>'Rate Tables'!$P$24</f>
        <v>1004.71</v>
      </c>
      <c r="BH339" s="136">
        <f>BF339*BG339*F334*BE334</f>
        <v>0</v>
      </c>
      <c r="BI339" s="19"/>
      <c r="BJ339" s="12"/>
      <c r="BK339" s="307"/>
      <c r="BL339" s="349"/>
      <c r="BM339" s="12"/>
      <c r="BN339" s="285"/>
      <c r="BO339" s="15"/>
    </row>
    <row r="340" spans="1:67" x14ac:dyDescent="0.25">
      <c r="A340" s="145"/>
      <c r="B340" s="12"/>
      <c r="C340" s="114"/>
      <c r="D340" s="12"/>
      <c r="E340" s="12"/>
      <c r="F340" s="12"/>
      <c r="G340" s="12"/>
      <c r="H340" s="12"/>
      <c r="I340" s="12"/>
      <c r="J340" s="125"/>
      <c r="K340" s="125"/>
      <c r="L340" s="123"/>
      <c r="M340" s="648">
        <f>K336-L336</f>
        <v>3</v>
      </c>
      <c r="N340" s="129"/>
      <c r="O340" s="125"/>
      <c r="P340" s="12"/>
      <c r="Q340" s="12"/>
      <c r="R340" s="12"/>
      <c r="S340" s="12"/>
      <c r="T340" s="12"/>
      <c r="U340" s="12"/>
      <c r="V340" s="12"/>
      <c r="W340" s="12"/>
      <c r="X340" s="119"/>
      <c r="Y340" s="651">
        <f>W336-X336</f>
        <v>3</v>
      </c>
      <c r="Z340" s="129"/>
      <c r="AA340" s="15"/>
      <c r="AB340" s="12"/>
      <c r="AC340" s="12"/>
      <c r="AD340" s="12"/>
      <c r="AE340" s="12"/>
      <c r="AF340" s="12"/>
      <c r="AG340" s="12"/>
      <c r="AH340" s="125"/>
      <c r="AI340" s="119"/>
      <c r="AJ340" s="651">
        <f>AH336-AI336</f>
        <v>3</v>
      </c>
      <c r="AK340" s="129"/>
      <c r="AL340" s="125"/>
      <c r="AM340" s="11"/>
      <c r="AN340" s="19"/>
      <c r="AO340" s="19"/>
      <c r="AP340" s="19"/>
      <c r="AQ340" s="19"/>
      <c r="AR340" s="12"/>
      <c r="AS340" s="123"/>
      <c r="AT340" s="119"/>
      <c r="AU340" s="651">
        <f>AS336-AT336</f>
        <v>3</v>
      </c>
      <c r="AV340" s="129"/>
      <c r="AW340" s="125"/>
      <c r="AX340" s="125"/>
      <c r="AY340" s="125"/>
      <c r="AZ340" s="125"/>
      <c r="BA340" s="125"/>
      <c r="BB340" s="125"/>
      <c r="BC340" s="125"/>
      <c r="BD340" s="125"/>
      <c r="BE340" s="125"/>
      <c r="BF340" s="651">
        <f>BD336-BE336</f>
        <v>3</v>
      </c>
      <c r="BG340" s="129"/>
      <c r="BH340" s="125"/>
      <c r="BI340" s="19"/>
      <c r="BJ340" s="12"/>
      <c r="BK340" s="307"/>
      <c r="BL340" s="349"/>
      <c r="BM340" s="12"/>
      <c r="BN340" s="285"/>
      <c r="BO340" s="15"/>
    </row>
    <row r="341" spans="1:67" x14ac:dyDescent="0.25">
      <c r="A341" s="145"/>
      <c r="B341" s="12"/>
      <c r="C341" s="114"/>
      <c r="D341" s="12"/>
      <c r="E341" s="12"/>
      <c r="F341" s="12"/>
      <c r="G341" s="12"/>
      <c r="H341" s="12"/>
      <c r="I341" s="12"/>
      <c r="J341" s="12"/>
      <c r="K341" s="12"/>
      <c r="L341" s="123"/>
      <c r="M341" s="648">
        <f t="shared" ref="M341:M342" si="6">K337-L337</f>
        <v>3</v>
      </c>
      <c r="N341" s="129"/>
      <c r="O341" s="125"/>
      <c r="P341" s="12"/>
      <c r="Q341" s="12"/>
      <c r="R341" s="12"/>
      <c r="S341" s="12"/>
      <c r="T341" s="12"/>
      <c r="U341" s="12"/>
      <c r="V341" s="12"/>
      <c r="W341" s="12"/>
      <c r="X341" s="119"/>
      <c r="Y341" s="651">
        <f t="shared" ref="Y341:Y343" si="7">W337-X337</f>
        <v>3</v>
      </c>
      <c r="Z341" s="129"/>
      <c r="AA341" s="125"/>
      <c r="AB341" s="12"/>
      <c r="AC341" s="12"/>
      <c r="AD341" s="12"/>
      <c r="AE341" s="12"/>
      <c r="AF341" s="12"/>
      <c r="AG341" s="12"/>
      <c r="AH341" s="125"/>
      <c r="AI341" s="119"/>
      <c r="AJ341" s="651">
        <f t="shared" ref="AJ341:AJ343" si="8">AH337-AI337</f>
        <v>3</v>
      </c>
      <c r="AK341" s="129"/>
      <c r="AL341" s="125"/>
      <c r="AM341" s="11"/>
      <c r="AN341" s="19"/>
      <c r="AO341" s="19"/>
      <c r="AP341" s="19"/>
      <c r="AQ341" s="19"/>
      <c r="AR341" s="12"/>
      <c r="AS341" s="125"/>
      <c r="AT341" s="119"/>
      <c r="AU341" s="651">
        <f>AS337-AT337</f>
        <v>3</v>
      </c>
      <c r="AV341" s="129"/>
      <c r="AW341" s="125"/>
      <c r="AX341" s="125"/>
      <c r="AY341" s="125"/>
      <c r="AZ341" s="125"/>
      <c r="BA341" s="125"/>
      <c r="BB341" s="125"/>
      <c r="BC341" s="125"/>
      <c r="BD341" s="125"/>
      <c r="BE341" s="125"/>
      <c r="BF341" s="651">
        <f>BD337-BE337</f>
        <v>3</v>
      </c>
      <c r="BG341" s="129"/>
      <c r="BH341" s="125"/>
      <c r="BI341" s="19"/>
      <c r="BJ341" s="12"/>
      <c r="BK341" s="307"/>
      <c r="BL341" s="349"/>
      <c r="BM341" s="12"/>
      <c r="BN341" s="285"/>
      <c r="BO341" s="15"/>
    </row>
    <row r="342" spans="1:67" x14ac:dyDescent="0.25">
      <c r="A342" s="145"/>
      <c r="B342" s="12"/>
      <c r="C342" s="114"/>
      <c r="D342" s="12"/>
      <c r="E342" s="12"/>
      <c r="F342" s="12"/>
      <c r="G342" s="12" t="s">
        <v>584</v>
      </c>
      <c r="H342" s="12"/>
      <c r="I342" s="12"/>
      <c r="J342" s="12"/>
      <c r="K342" s="12"/>
      <c r="L342" s="123"/>
      <c r="M342" s="648">
        <f t="shared" si="6"/>
        <v>3</v>
      </c>
      <c r="N342" s="129"/>
      <c r="O342" s="125"/>
      <c r="P342" s="12"/>
      <c r="Q342" s="12"/>
      <c r="R342" s="12"/>
      <c r="S342" s="12"/>
      <c r="T342" s="12"/>
      <c r="U342" s="12"/>
      <c r="V342" s="12"/>
      <c r="W342" s="12"/>
      <c r="X342" s="119"/>
      <c r="Y342" s="651">
        <f t="shared" si="7"/>
        <v>3</v>
      </c>
      <c r="Z342" s="129"/>
      <c r="AA342" s="125"/>
      <c r="AB342" s="12"/>
      <c r="AC342" s="12"/>
      <c r="AD342" s="12"/>
      <c r="AE342" s="12"/>
      <c r="AF342" s="12"/>
      <c r="AG342" s="12"/>
      <c r="AH342" s="125"/>
      <c r="AI342" s="119"/>
      <c r="AJ342" s="651">
        <f t="shared" si="8"/>
        <v>3</v>
      </c>
      <c r="AK342" s="129"/>
      <c r="AL342" s="125"/>
      <c r="AM342" s="11"/>
      <c r="AN342" s="19"/>
      <c r="AO342" s="19"/>
      <c r="AP342" s="19"/>
      <c r="AQ342" s="19"/>
      <c r="AR342" s="12"/>
      <c r="AS342" s="125"/>
      <c r="AT342" s="119"/>
      <c r="AU342" s="651">
        <f>AS338-AT338</f>
        <v>3</v>
      </c>
      <c r="AV342" s="129"/>
      <c r="AW342" s="125"/>
      <c r="AX342" s="125"/>
      <c r="AY342" s="125"/>
      <c r="AZ342" s="125"/>
      <c r="BA342" s="125"/>
      <c r="BB342" s="125"/>
      <c r="BC342" s="125"/>
      <c r="BD342" s="125"/>
      <c r="BE342" s="125"/>
      <c r="BF342" s="651">
        <f>BD338-BE338</f>
        <v>3</v>
      </c>
      <c r="BG342" s="129"/>
      <c r="BH342" s="125"/>
      <c r="BI342" s="19"/>
      <c r="BJ342" s="12"/>
      <c r="BK342" s="307"/>
      <c r="BL342" s="349"/>
      <c r="BM342" s="12"/>
      <c r="BN342" s="285"/>
      <c r="BO342" s="15"/>
    </row>
    <row r="343" spans="1:67" x14ac:dyDescent="0.25">
      <c r="A343" s="145"/>
      <c r="B343" s="162"/>
      <c r="C343" s="115">
        <f>(B309*12)*2</f>
        <v>0</v>
      </c>
      <c r="D343" s="115"/>
      <c r="E343" s="126"/>
      <c r="F343" s="126"/>
      <c r="G343" s="12"/>
      <c r="H343" s="12"/>
      <c r="I343" s="12"/>
      <c r="J343" s="12"/>
      <c r="K343" s="12"/>
      <c r="L343" s="12"/>
      <c r="M343" s="649">
        <f>K339-L339</f>
        <v>3</v>
      </c>
      <c r="N343" s="12"/>
      <c r="O343" s="12"/>
      <c r="P343" s="12"/>
      <c r="Q343" s="12"/>
      <c r="R343" s="12"/>
      <c r="S343" s="12"/>
      <c r="T343" s="12"/>
      <c r="U343" s="12"/>
      <c r="V343" s="12"/>
      <c r="W343" s="12"/>
      <c r="X343" s="12"/>
      <c r="Y343" s="652">
        <f t="shared" si="7"/>
        <v>3</v>
      </c>
      <c r="Z343" s="12"/>
      <c r="AA343" s="12"/>
      <c r="AB343" s="12"/>
      <c r="AC343" s="12"/>
      <c r="AD343" s="12"/>
      <c r="AE343" s="12"/>
      <c r="AF343" s="12"/>
      <c r="AG343" s="12"/>
      <c r="AH343" s="12"/>
      <c r="AI343" s="12"/>
      <c r="AJ343" s="652">
        <f t="shared" si="8"/>
        <v>3</v>
      </c>
      <c r="AK343" s="12"/>
      <c r="AL343" s="12"/>
      <c r="AM343" s="11"/>
      <c r="AN343" s="12"/>
      <c r="AO343" s="12"/>
      <c r="AP343" s="12"/>
      <c r="AQ343" s="12"/>
      <c r="AR343" s="12"/>
      <c r="AS343" s="12"/>
      <c r="AT343" s="12"/>
      <c r="AU343" s="652">
        <f>AS339-AT339</f>
        <v>3</v>
      </c>
      <c r="AV343" s="12"/>
      <c r="AW343" s="12"/>
      <c r="AX343" s="12"/>
      <c r="AY343" s="12"/>
      <c r="AZ343" s="12"/>
      <c r="BA343" s="12"/>
      <c r="BB343" s="12"/>
      <c r="BC343" s="12"/>
      <c r="BD343" s="12"/>
      <c r="BE343" s="12"/>
      <c r="BF343" s="652">
        <f>BD339-BE339</f>
        <v>3</v>
      </c>
      <c r="BG343" s="12"/>
      <c r="BH343" s="12"/>
      <c r="BI343" s="12"/>
      <c r="BJ343" s="12"/>
      <c r="BK343" s="306" t="s">
        <v>413</v>
      </c>
      <c r="BL343" s="348">
        <f>Personnel!W82</f>
        <v>0</v>
      </c>
      <c r="BM343" s="276" t="s">
        <v>416</v>
      </c>
      <c r="BN343" s="285">
        <f>(M345+M347+M349+M351+W345+W347+W349+W351+AI345+AI347+AI349+AI351+AT345+AT347+AT349+AT351+BE345+BE347+BE349+BE351)*BI345</f>
        <v>0</v>
      </c>
      <c r="BO343" s="15"/>
    </row>
    <row r="344" spans="1:67" x14ac:dyDescent="0.25">
      <c r="A344" s="145"/>
      <c r="B344" s="12"/>
      <c r="C344" s="117" t="s">
        <v>30</v>
      </c>
      <c r="D344" s="117"/>
      <c r="E344" s="13"/>
      <c r="F344" s="13" t="s">
        <v>42</v>
      </c>
      <c r="G344" s="13" t="s">
        <v>41</v>
      </c>
      <c r="H344" s="65" t="s">
        <v>77</v>
      </c>
      <c r="I344" s="150" t="s">
        <v>50</v>
      </c>
      <c r="J344" s="13" t="s">
        <v>52</v>
      </c>
      <c r="K344" s="13" t="s">
        <v>35</v>
      </c>
      <c r="L344" s="13" t="s">
        <v>82</v>
      </c>
      <c r="M344" s="13" t="s">
        <v>31</v>
      </c>
      <c r="N344" s="13" t="s">
        <v>69</v>
      </c>
      <c r="O344" s="12"/>
      <c r="P344" s="13" t="s">
        <v>72</v>
      </c>
      <c r="Q344" s="65" t="s">
        <v>80</v>
      </c>
      <c r="R344" s="62" t="s">
        <v>81</v>
      </c>
      <c r="S344" s="65" t="s">
        <v>77</v>
      </c>
      <c r="T344" s="674" t="s">
        <v>107</v>
      </c>
      <c r="U344" s="13" t="s">
        <v>53</v>
      </c>
      <c r="V344" s="13" t="s">
        <v>82</v>
      </c>
      <c r="W344" s="13" t="s">
        <v>32</v>
      </c>
      <c r="X344" s="13" t="s">
        <v>69</v>
      </c>
      <c r="Y344" s="12"/>
      <c r="Z344" s="12"/>
      <c r="AA344" s="12"/>
      <c r="AB344" s="13" t="s">
        <v>72</v>
      </c>
      <c r="AC344" s="13" t="s">
        <v>80</v>
      </c>
      <c r="AD344" s="62" t="s">
        <v>81</v>
      </c>
      <c r="AE344" s="65" t="s">
        <v>77</v>
      </c>
      <c r="AF344" s="151" t="s">
        <v>107</v>
      </c>
      <c r="AG344" s="13" t="s">
        <v>78</v>
      </c>
      <c r="AH344" s="13" t="s">
        <v>82</v>
      </c>
      <c r="AI344" s="13" t="s">
        <v>33</v>
      </c>
      <c r="AJ344" s="13" t="s">
        <v>69</v>
      </c>
      <c r="AK344" s="12"/>
      <c r="AL344" s="12"/>
      <c r="AM344" s="13" t="s">
        <v>72</v>
      </c>
      <c r="AN344" s="13" t="s">
        <v>80</v>
      </c>
      <c r="AO344" s="62" t="s">
        <v>81</v>
      </c>
      <c r="AP344" s="65" t="s">
        <v>77</v>
      </c>
      <c r="AQ344" s="151" t="s">
        <v>107</v>
      </c>
      <c r="AR344" s="13" t="s">
        <v>78</v>
      </c>
      <c r="AS344" s="13" t="s">
        <v>82</v>
      </c>
      <c r="AT344" s="13" t="s">
        <v>33</v>
      </c>
      <c r="AU344" s="13" t="s">
        <v>69</v>
      </c>
      <c r="AV344" s="13"/>
      <c r="AW344" s="13"/>
      <c r="AX344" s="13" t="s">
        <v>72</v>
      </c>
      <c r="AY344" s="13" t="s">
        <v>80</v>
      </c>
      <c r="AZ344" s="62" t="s">
        <v>81</v>
      </c>
      <c r="BA344" s="65" t="s">
        <v>77</v>
      </c>
      <c r="BB344" s="151" t="s">
        <v>107</v>
      </c>
      <c r="BC344" s="13" t="s">
        <v>78</v>
      </c>
      <c r="BD344" s="13" t="s">
        <v>82</v>
      </c>
      <c r="BE344" s="13" t="s">
        <v>33</v>
      </c>
      <c r="BF344" s="13" t="s">
        <v>69</v>
      </c>
      <c r="BG344" s="13"/>
      <c r="BH344" s="13"/>
      <c r="BI344" s="13" t="s">
        <v>159</v>
      </c>
      <c r="BJ344" s="12"/>
      <c r="BK344" s="227"/>
      <c r="BL344" s="12"/>
      <c r="BM344" s="12"/>
      <c r="BN344" s="285"/>
      <c r="BO344" s="15"/>
    </row>
    <row r="345" spans="1:67" x14ac:dyDescent="0.25">
      <c r="A345" s="145"/>
      <c r="B345" s="12"/>
      <c r="C345" s="115"/>
      <c r="D345" s="115"/>
      <c r="E345" s="152">
        <f>BL343</f>
        <v>0</v>
      </c>
      <c r="F345" s="19">
        <f>IF($D$4=2022,1,0)</f>
        <v>0</v>
      </c>
      <c r="G345" s="178">
        <f>IF($B355="Yes",$C$5,$I354)</f>
        <v>12</v>
      </c>
      <c r="H345" s="36">
        <f>VLOOKUP(H353,'Lookup Tables'!$A$22:$B$33,2,FALSE)</f>
        <v>3</v>
      </c>
      <c r="I345" s="192">
        <f>VLOOKUP($E$4,'Lookup Tables'!$AB$46:$AN$58,MATCH($H345,'Lookup Tables'!$AB$46:$AN$46),FALSE)</f>
        <v>12</v>
      </c>
      <c r="J345" s="19">
        <f>12-I345</f>
        <v>0</v>
      </c>
      <c r="K345" s="19">
        <f>IF(G345&lt;J345,G345,J345)</f>
        <v>0</v>
      </c>
      <c r="L345" s="195">
        <f>IF(12-I345&gt;=1,1,0)</f>
        <v>0</v>
      </c>
      <c r="M345" s="20">
        <f>((('Rate Tables'!$B104*$E345)*PersonCalcYr3!$K345)*L345)*$F345</f>
        <v>0</v>
      </c>
      <c r="N345" s="8">
        <f>G345-(J345*L345)</f>
        <v>12</v>
      </c>
      <c r="O345" s="12"/>
      <c r="P345" s="8">
        <f>IF(N345&lt;0,N345*0,1)*N345</f>
        <v>12</v>
      </c>
      <c r="Q345" s="120">
        <f>VLOOKUP($H353,'Lookup Tables'!$A$22:$B$33,2,FALSE)+(K345*L345)</f>
        <v>3</v>
      </c>
      <c r="R345" s="121" t="str">
        <f>VLOOKUP(Q345,'Lookup Tables'!$A$38:$B$151,2,FALSE)</f>
        <v>Sept</v>
      </c>
      <c r="S345" s="36">
        <f>VLOOKUP(R345,'Lookup Tables'!$A$22:$B$33,2,FALSE)</f>
        <v>3</v>
      </c>
      <c r="T345" s="672">
        <f>VLOOKUP($E$4,'Lookup Tables'!$AQ$46:$BC$58,MATCH(PersonCalcYr3!$S345,'Lookup Tables'!$AQ$46:$BC$46),FALSE)</f>
        <v>10</v>
      </c>
      <c r="U345" s="19">
        <f>IF(P345&lt;T345,P345,T345)</f>
        <v>10</v>
      </c>
      <c r="V345" s="119">
        <f>IF((U345)&lt;=0,0,1)</f>
        <v>1</v>
      </c>
      <c r="W345" s="20">
        <f>(('Rate Tables'!$C104*$E345)*PersonCalcYr3!$U345)*$V345*$F345</f>
        <v>0</v>
      </c>
      <c r="X345" s="8">
        <f>P345-(U345*V345)</f>
        <v>2</v>
      </c>
      <c r="Y345" s="12"/>
      <c r="Z345" s="12"/>
      <c r="AA345" s="12"/>
      <c r="AB345" s="19">
        <f>X345</f>
        <v>2</v>
      </c>
      <c r="AC345" s="123">
        <f>AC311</f>
        <v>13</v>
      </c>
      <c r="AD345" s="121" t="str">
        <f>VLOOKUP(AC345,'Lookup Tables'!$A$38:$B$151,2,FALSE)</f>
        <v>July</v>
      </c>
      <c r="AE345" s="36">
        <f>VLOOKUP(AD345,'Lookup Tables'!$A$22:$B$33,2,FALSE)</f>
        <v>1</v>
      </c>
      <c r="AF345" s="87">
        <f>VLOOKUP($AE345,'Lookup Tables'!$AC$3:$AW$16,MATCH(PersonCalcYr3!$AB345,'Lookup Tables'!$AC$3:$AW$3),FALSE)</f>
        <v>2</v>
      </c>
      <c r="AG345" s="19">
        <f>IF(AB345&lt;AF345,AB345,AF345)</f>
        <v>2</v>
      </c>
      <c r="AH345" s="119">
        <f>IF((AG345)&lt;=0,0,1)</f>
        <v>1</v>
      </c>
      <c r="AI345" s="20">
        <f>(('Rate Tables'!$D104*$E345)*PersonCalcYr3!AG345)*AH345*$F345</f>
        <v>0</v>
      </c>
      <c r="AJ345" s="8">
        <f>AB345-(AG345*AH345)</f>
        <v>0</v>
      </c>
      <c r="AK345" s="12"/>
      <c r="AL345" s="12"/>
      <c r="AM345" s="19">
        <f>AJ345</f>
        <v>0</v>
      </c>
      <c r="AN345" s="123">
        <f>AN311</f>
        <v>3</v>
      </c>
      <c r="AO345" s="121" t="str">
        <f>VLOOKUP(AN345,'Lookup Tables'!$A$38:$B$151,2,FALSE)</f>
        <v>Sept</v>
      </c>
      <c r="AP345" s="36">
        <f>VLOOKUP(AO345,'Lookup Tables'!$A$22:$B$33,2,FALSE)</f>
        <v>3</v>
      </c>
      <c r="AQ345" s="87">
        <f>VLOOKUP($AP345,'Lookup Tables'!$AC$3:$AW$16,MATCH(PersonCalcYr3!$AM345,'Lookup Tables'!$AC$3:$AW$3),FALSE)</f>
        <v>0</v>
      </c>
      <c r="AR345" s="19">
        <f>IF(AM345&lt;AQ345,AM345,AQ345)</f>
        <v>0</v>
      </c>
      <c r="AS345" s="119">
        <f>IF((AR345)&lt;=0,0,1)</f>
        <v>0</v>
      </c>
      <c r="AT345" s="20">
        <f>(('Rate Tables'!$E104*$E345)*PersonCalcYr3!AR345)*AS345*$F345</f>
        <v>0</v>
      </c>
      <c r="AU345" s="8">
        <f>AM345-(AR345*AS345)</f>
        <v>0</v>
      </c>
      <c r="AV345" s="19"/>
      <c r="AW345" s="19"/>
      <c r="AX345" s="19">
        <f>AU345</f>
        <v>0</v>
      </c>
      <c r="AY345" s="123">
        <f>AY311</f>
        <v>3</v>
      </c>
      <c r="AZ345" s="121" t="str">
        <f>VLOOKUP(AY345,'Lookup Tables'!$A$38:$B$151,2,FALSE)</f>
        <v>Sept</v>
      </c>
      <c r="BA345" s="36">
        <f>VLOOKUP(AZ345,'Lookup Tables'!$A$22:$B$33,2,FALSE)</f>
        <v>3</v>
      </c>
      <c r="BB345" s="87">
        <f>VLOOKUP($BA345,'Lookup Tables'!$AC$3:$AW$16,MATCH(PersonCalcYr3!$AX345,'Lookup Tables'!$AC$3:$AW$3),FALSE)</f>
        <v>0</v>
      </c>
      <c r="BC345" s="19">
        <f>IF(AX345&lt;BB345,AX345,BB345)</f>
        <v>0</v>
      </c>
      <c r="BD345" s="119">
        <f>IF((BC345)&lt;=0,0,1)</f>
        <v>0</v>
      </c>
      <c r="BE345" s="20">
        <f>(('Rate Tables'!$F104*$E345)*PersonCalcYr3!BC345)*BD345*$F345</f>
        <v>0</v>
      </c>
      <c r="BF345" s="8">
        <f>AX345-(BC345*BD345)</f>
        <v>0</v>
      </c>
      <c r="BG345" s="19"/>
      <c r="BH345" s="19"/>
      <c r="BI345" s="19">
        <f>VLOOKUP(B307,'Lookup Tables'!$AK$22:$AM$24,3,0)</f>
        <v>1</v>
      </c>
      <c r="BJ345" s="12"/>
      <c r="BK345" s="227"/>
      <c r="BL345" s="12"/>
      <c r="BM345" s="276" t="s">
        <v>188</v>
      </c>
      <c r="BN345" s="285">
        <f>BN343*'Rate Tables'!P$8</f>
        <v>0</v>
      </c>
      <c r="BO345" s="15"/>
    </row>
    <row r="346" spans="1:67" x14ac:dyDescent="0.25">
      <c r="A346" s="145"/>
      <c r="B346" s="12"/>
      <c r="C346" s="117" t="s">
        <v>597</v>
      </c>
      <c r="D346" s="117"/>
      <c r="E346" s="13"/>
      <c r="F346" s="13" t="s">
        <v>42</v>
      </c>
      <c r="G346" s="13" t="s">
        <v>41</v>
      </c>
      <c r="H346" s="65" t="s">
        <v>77</v>
      </c>
      <c r="I346" s="150" t="s">
        <v>51</v>
      </c>
      <c r="J346" s="13" t="s">
        <v>110</v>
      </c>
      <c r="K346" s="13" t="s">
        <v>53</v>
      </c>
      <c r="L346" s="13" t="s">
        <v>82</v>
      </c>
      <c r="M346" s="13" t="s">
        <v>32</v>
      </c>
      <c r="N346" s="13" t="s">
        <v>69</v>
      </c>
      <c r="O346" s="12"/>
      <c r="P346" s="13" t="s">
        <v>72</v>
      </c>
      <c r="Q346" s="65" t="s">
        <v>80</v>
      </c>
      <c r="R346" s="62" t="s">
        <v>81</v>
      </c>
      <c r="S346" s="65" t="s">
        <v>77</v>
      </c>
      <c r="T346" s="674" t="s">
        <v>107</v>
      </c>
      <c r="U346" s="13" t="s">
        <v>78</v>
      </c>
      <c r="V346" s="13" t="s">
        <v>82</v>
      </c>
      <c r="W346" s="13" t="s">
        <v>33</v>
      </c>
      <c r="X346" s="13" t="s">
        <v>69</v>
      </c>
      <c r="Y346" s="12"/>
      <c r="Z346" s="12"/>
      <c r="AA346" s="12"/>
      <c r="AB346" s="13" t="s">
        <v>72</v>
      </c>
      <c r="AC346" s="13" t="s">
        <v>80</v>
      </c>
      <c r="AD346" s="62" t="s">
        <v>81</v>
      </c>
      <c r="AE346" s="65" t="s">
        <v>77</v>
      </c>
      <c r="AF346" s="151" t="s">
        <v>107</v>
      </c>
      <c r="AG346" s="13" t="s">
        <v>79</v>
      </c>
      <c r="AH346" s="13" t="s">
        <v>82</v>
      </c>
      <c r="AI346" s="13" t="s">
        <v>34</v>
      </c>
      <c r="AJ346" s="13" t="s">
        <v>69</v>
      </c>
      <c r="AK346" s="12"/>
      <c r="AL346" s="12"/>
      <c r="AM346" s="13" t="s">
        <v>72</v>
      </c>
      <c r="AN346" s="13" t="s">
        <v>80</v>
      </c>
      <c r="AO346" s="62" t="s">
        <v>81</v>
      </c>
      <c r="AP346" s="65" t="s">
        <v>77</v>
      </c>
      <c r="AQ346" s="151" t="s">
        <v>107</v>
      </c>
      <c r="AR346" s="13" t="s">
        <v>79</v>
      </c>
      <c r="AS346" s="13" t="s">
        <v>82</v>
      </c>
      <c r="AT346" s="13" t="s">
        <v>34</v>
      </c>
      <c r="AU346" s="13" t="s">
        <v>69</v>
      </c>
      <c r="AV346" s="13"/>
      <c r="AW346" s="13"/>
      <c r="AX346" s="13" t="s">
        <v>72</v>
      </c>
      <c r="AY346" s="13" t="s">
        <v>80</v>
      </c>
      <c r="AZ346" s="62" t="s">
        <v>81</v>
      </c>
      <c r="BA346" s="65" t="s">
        <v>77</v>
      </c>
      <c r="BB346" s="151" t="s">
        <v>107</v>
      </c>
      <c r="BC346" s="13" t="s">
        <v>79</v>
      </c>
      <c r="BD346" s="13" t="s">
        <v>82</v>
      </c>
      <c r="BE346" s="13" t="s">
        <v>34</v>
      </c>
      <c r="BF346" s="13" t="s">
        <v>69</v>
      </c>
      <c r="BG346" s="13"/>
      <c r="BH346" s="13"/>
      <c r="BI346" s="13"/>
      <c r="BJ346" s="12"/>
      <c r="BK346" s="311"/>
      <c r="BL346" s="12"/>
      <c r="BM346" s="12"/>
      <c r="BN346" s="285"/>
      <c r="BO346" s="15"/>
    </row>
    <row r="347" spans="1:67" x14ac:dyDescent="0.25">
      <c r="A347" s="145"/>
      <c r="B347" s="12"/>
      <c r="C347" s="115"/>
      <c r="D347" s="115"/>
      <c r="E347" s="152">
        <f>BL343</f>
        <v>0</v>
      </c>
      <c r="F347" s="19">
        <f>IF($D$4=2023,1,0)</f>
        <v>0</v>
      </c>
      <c r="G347" s="178">
        <f>IF($B355="Yes",$C$5,$I354)</f>
        <v>12</v>
      </c>
      <c r="H347" s="36">
        <f>VLOOKUP(H353,'Lookup Tables'!$A$22:$B$33,2,FALSE)</f>
        <v>3</v>
      </c>
      <c r="I347" s="192">
        <f>VLOOKUP($E$4,'Lookup Tables'!$AB$46:$AN$58,MATCH($H347,'Lookup Tables'!$AB$46:$AN$46),FALSE)</f>
        <v>12</v>
      </c>
      <c r="J347" s="19">
        <f>12-I347</f>
        <v>0</v>
      </c>
      <c r="K347" s="19">
        <f>IF(G347&lt;J347,G347,J347)</f>
        <v>0</v>
      </c>
      <c r="L347" s="195">
        <f>IF(12-I347&gt;=1,1,0)</f>
        <v>0</v>
      </c>
      <c r="M347" s="20">
        <f>((('Rate Tables'!$C104*$E347)*PersonCalcYr3!$K347)*L347)*$F347</f>
        <v>0</v>
      </c>
      <c r="N347" s="8">
        <f>G347-(J347*L347)</f>
        <v>12</v>
      </c>
      <c r="O347" s="12"/>
      <c r="P347" s="8">
        <f>IF(N347&lt;0,N347*0,1)*N347</f>
        <v>12</v>
      </c>
      <c r="Q347" s="120">
        <f>VLOOKUP($H353,'Lookup Tables'!$A$22:$B$33,2,FALSE)+(K347*L347)</f>
        <v>3</v>
      </c>
      <c r="R347" s="121" t="str">
        <f>VLOOKUP(Q347,'Lookup Tables'!$A$38:$B$151,2,FALSE)</f>
        <v>Sept</v>
      </c>
      <c r="S347" s="36">
        <f>VLOOKUP(R347,'Lookup Tables'!$A$22:$B$33,2,FALSE)</f>
        <v>3</v>
      </c>
      <c r="T347" s="672">
        <f>VLOOKUP($E$4,'Lookup Tables'!$AQ$46:$BC$58,MATCH(PersonCalcYr3!$S347,'Lookup Tables'!$AQ$46:$BC$46),FALSE)</f>
        <v>10</v>
      </c>
      <c r="U347" s="19">
        <f>IF(P347&lt;T347,P347,T347)</f>
        <v>10</v>
      </c>
      <c r="V347" s="119">
        <f>IF((U347)&lt;=0,0,1)</f>
        <v>1</v>
      </c>
      <c r="W347" s="20">
        <f>(('Rate Tables'!$D104*$E347)*PersonCalcYr3!$U347)*$V347*$F347</f>
        <v>0</v>
      </c>
      <c r="X347" s="8">
        <f>P347-(U347*V347)</f>
        <v>2</v>
      </c>
      <c r="Y347" s="12"/>
      <c r="Z347" s="12"/>
      <c r="AA347" s="12"/>
      <c r="AB347" s="19">
        <f>X347</f>
        <v>2</v>
      </c>
      <c r="AC347" s="123">
        <f>AC313</f>
        <v>13</v>
      </c>
      <c r="AD347" s="121" t="str">
        <f>VLOOKUP(AC347,'Lookup Tables'!$A$38:$B$151,2,FALSE)</f>
        <v>July</v>
      </c>
      <c r="AE347" s="36">
        <f>VLOOKUP(AD347,'Lookup Tables'!$A$22:$B$33,2,FALSE)</f>
        <v>1</v>
      </c>
      <c r="AF347" s="87">
        <f>VLOOKUP($AE347,'Lookup Tables'!$AC$3:$AW$16,MATCH(PersonCalcYr3!$AB347,'Lookup Tables'!$AC$3:$AW$3),FALSE)</f>
        <v>2</v>
      </c>
      <c r="AG347" s="19">
        <f>IF(AB347&lt;AF347,AB347,AF347)</f>
        <v>2</v>
      </c>
      <c r="AH347" s="119">
        <f>IF((AG347)&lt;=0,0,1)</f>
        <v>1</v>
      </c>
      <c r="AI347" s="20">
        <f>(('Rate Tables'!$E104*$E347)*PersonCalcYr3!AG347)*AH347*$F347</f>
        <v>0</v>
      </c>
      <c r="AJ347" s="8">
        <f>AB347-(AG347*AH347)</f>
        <v>0</v>
      </c>
      <c r="AK347" s="12"/>
      <c r="AL347" s="12"/>
      <c r="AM347" s="19">
        <f>AJ347</f>
        <v>0</v>
      </c>
      <c r="AN347" s="123">
        <f>AN313</f>
        <v>3</v>
      </c>
      <c r="AO347" s="121" t="str">
        <f>VLOOKUP(AN347,'Lookup Tables'!$A$38:$B$151,2,FALSE)</f>
        <v>Sept</v>
      </c>
      <c r="AP347" s="36">
        <f>VLOOKUP(AO347,'Lookup Tables'!$A$22:$B$33,2,FALSE)</f>
        <v>3</v>
      </c>
      <c r="AQ347" s="87">
        <f>VLOOKUP($AP347,'Lookup Tables'!$AC$3:$AW$16,MATCH(PersonCalcYr3!$AM347,'Lookup Tables'!$AC$3:$AW$3),FALSE)</f>
        <v>0</v>
      </c>
      <c r="AR347" s="19">
        <f>IF(AM347&lt;AQ347,AM347,AQ347)</f>
        <v>0</v>
      </c>
      <c r="AS347" s="119">
        <f>IF((AR347)&lt;=0,0,1)</f>
        <v>0</v>
      </c>
      <c r="AT347" s="20">
        <f>(('Rate Tables'!$F104*$E347)*PersonCalcYr3!AR347)*AS347*$F347</f>
        <v>0</v>
      </c>
      <c r="AU347" s="8">
        <f>AM347-(AR347*AS347)</f>
        <v>0</v>
      </c>
      <c r="AV347" s="20"/>
      <c r="AW347" s="20"/>
      <c r="AX347" s="19">
        <f>AU347</f>
        <v>0</v>
      </c>
      <c r="AY347" s="123">
        <f>AY313</f>
        <v>3</v>
      </c>
      <c r="AZ347" s="121" t="str">
        <f>VLOOKUP(AY347,'Lookup Tables'!$A$38:$B$151,2,FALSE)</f>
        <v>Sept</v>
      </c>
      <c r="BA347" s="36">
        <f>VLOOKUP(AZ347,'Lookup Tables'!$A$22:$B$33,2,FALSE)</f>
        <v>3</v>
      </c>
      <c r="BB347" s="87">
        <f>VLOOKUP($BA347,'Lookup Tables'!$AC$3:$AW$16,MATCH(PersonCalcYr3!$AX347,'Lookup Tables'!$AC$3:$AW$3),FALSE)</f>
        <v>0</v>
      </c>
      <c r="BC347" s="19">
        <f>IF(AX347&lt;BB347,AX347,BB347)</f>
        <v>0</v>
      </c>
      <c r="BD347" s="119">
        <f>IF((BC347)&lt;=0,0,1)</f>
        <v>0</v>
      </c>
      <c r="BE347" s="20">
        <f>(('Rate Tables'!$G104*$E347)*PersonCalcYr3!BC347)*BD347*$F347</f>
        <v>0</v>
      </c>
      <c r="BF347" s="8">
        <f>AX347-(BC347*BD347)</f>
        <v>0</v>
      </c>
      <c r="BG347" s="20"/>
      <c r="BH347" s="20"/>
      <c r="BI347" s="20"/>
      <c r="BJ347" s="12"/>
      <c r="BK347" s="311"/>
      <c r="BL347" s="349" t="s">
        <v>643</v>
      </c>
      <c r="BM347" s="276" t="s">
        <v>136</v>
      </c>
      <c r="BN347" s="285">
        <f>(((O353+O354+O355+O356+AA353+AA354+AA355+AA356+AL353+AL354+AL355+AL356+AW353+AW354+AW355+AW356+BH353+BH354+BH355+BH356)*BI353)*BN348)*BL352</f>
        <v>0</v>
      </c>
      <c r="BO347" s="12" t="s">
        <v>418</v>
      </c>
    </row>
    <row r="348" spans="1:67" x14ac:dyDescent="0.25">
      <c r="A348" s="145"/>
      <c r="B348" s="12"/>
      <c r="C348" s="117" t="s">
        <v>664</v>
      </c>
      <c r="D348" s="117"/>
      <c r="E348" s="13"/>
      <c r="F348" s="13" t="s">
        <v>42</v>
      </c>
      <c r="G348" s="13" t="s">
        <v>41</v>
      </c>
      <c r="H348" s="65" t="s">
        <v>77</v>
      </c>
      <c r="I348" s="150" t="s">
        <v>51</v>
      </c>
      <c r="J348" s="13" t="s">
        <v>110</v>
      </c>
      <c r="K348" s="13" t="s">
        <v>53</v>
      </c>
      <c r="L348" s="13" t="s">
        <v>82</v>
      </c>
      <c r="M348" s="13" t="s">
        <v>32</v>
      </c>
      <c r="N348" s="13" t="s">
        <v>69</v>
      </c>
      <c r="O348" s="12"/>
      <c r="P348" s="13" t="s">
        <v>72</v>
      </c>
      <c r="Q348" s="65" t="s">
        <v>80</v>
      </c>
      <c r="R348" s="62" t="s">
        <v>81</v>
      </c>
      <c r="S348" s="65" t="s">
        <v>77</v>
      </c>
      <c r="T348" s="674" t="s">
        <v>107</v>
      </c>
      <c r="U348" s="13" t="s">
        <v>78</v>
      </c>
      <c r="V348" s="13" t="s">
        <v>82</v>
      </c>
      <c r="W348" s="13" t="s">
        <v>33</v>
      </c>
      <c r="X348" s="13" t="s">
        <v>69</v>
      </c>
      <c r="Y348" s="12"/>
      <c r="Z348" s="12"/>
      <c r="AA348" s="12"/>
      <c r="AB348" s="13" t="s">
        <v>72</v>
      </c>
      <c r="AC348" s="13" t="s">
        <v>80</v>
      </c>
      <c r="AD348" s="62" t="s">
        <v>81</v>
      </c>
      <c r="AE348" s="65" t="s">
        <v>77</v>
      </c>
      <c r="AF348" s="151" t="s">
        <v>107</v>
      </c>
      <c r="AG348" s="13" t="s">
        <v>79</v>
      </c>
      <c r="AH348" s="13" t="s">
        <v>82</v>
      </c>
      <c r="AI348" s="13" t="s">
        <v>34</v>
      </c>
      <c r="AJ348" s="13" t="s">
        <v>69</v>
      </c>
      <c r="AK348" s="12"/>
      <c r="AL348" s="12"/>
      <c r="AM348" s="13" t="s">
        <v>72</v>
      </c>
      <c r="AN348" s="13" t="s">
        <v>80</v>
      </c>
      <c r="AO348" s="62" t="s">
        <v>81</v>
      </c>
      <c r="AP348" s="65" t="s">
        <v>77</v>
      </c>
      <c r="AQ348" s="151" t="s">
        <v>107</v>
      </c>
      <c r="AR348" s="13" t="s">
        <v>79</v>
      </c>
      <c r="AS348" s="13" t="s">
        <v>82</v>
      </c>
      <c r="AT348" s="13" t="s">
        <v>34</v>
      </c>
      <c r="AU348" s="13" t="s">
        <v>69</v>
      </c>
      <c r="AV348" s="20"/>
      <c r="AW348" s="20"/>
      <c r="AX348" s="13" t="s">
        <v>72</v>
      </c>
      <c r="AY348" s="13" t="s">
        <v>80</v>
      </c>
      <c r="AZ348" s="62" t="s">
        <v>81</v>
      </c>
      <c r="BA348" s="65" t="s">
        <v>77</v>
      </c>
      <c r="BB348" s="151" t="s">
        <v>107</v>
      </c>
      <c r="BC348" s="13" t="s">
        <v>79</v>
      </c>
      <c r="BD348" s="13" t="s">
        <v>82</v>
      </c>
      <c r="BE348" s="13" t="s">
        <v>34</v>
      </c>
      <c r="BF348" s="13" t="s">
        <v>69</v>
      </c>
      <c r="BG348" s="20"/>
      <c r="BH348" s="20"/>
      <c r="BI348" s="20"/>
      <c r="BJ348" s="12"/>
      <c r="BK348" s="311"/>
      <c r="BL348" s="350" t="s">
        <v>644</v>
      </c>
      <c r="BM348" s="227" t="s">
        <v>582</v>
      </c>
      <c r="BN348" s="663">
        <f>IF(BN343&gt;0,1,0)</f>
        <v>0</v>
      </c>
      <c r="BO348" s="12"/>
    </row>
    <row r="349" spans="1:67" x14ac:dyDescent="0.25">
      <c r="A349" s="145"/>
      <c r="B349" s="12"/>
      <c r="C349" s="115"/>
      <c r="D349" s="115"/>
      <c r="E349" s="152">
        <f>BL343</f>
        <v>0</v>
      </c>
      <c r="F349" s="19">
        <f>IF($D$4=2024,1,0)</f>
        <v>1</v>
      </c>
      <c r="G349" s="178">
        <f>IF($B355="Yes",$C$5,$I354)</f>
        <v>12</v>
      </c>
      <c r="H349" s="36">
        <f>VLOOKUP(H353,'Lookup Tables'!$A$22:$B$33,2,FALSE)</f>
        <v>3</v>
      </c>
      <c r="I349" s="192">
        <f>VLOOKUP($E$4,'Lookup Tables'!$AB$46:$AN$58,MATCH($H349,'Lookup Tables'!$AB$46:$AN$46),FALSE)</f>
        <v>12</v>
      </c>
      <c r="J349" s="19">
        <f>12-I349</f>
        <v>0</v>
      </c>
      <c r="K349" s="19">
        <f>IF(G349&lt;J349,G349,J349)</f>
        <v>0</v>
      </c>
      <c r="L349" s="195">
        <f>IF(12-I349&gt;=1,1,0)</f>
        <v>0</v>
      </c>
      <c r="M349" s="20">
        <f>((('Rate Tables'!$D104*$E349)*PersonCalcYr3!$K349)*L349)*$F349</f>
        <v>0</v>
      </c>
      <c r="N349" s="8">
        <f>G349-(J349*L349)</f>
        <v>12</v>
      </c>
      <c r="O349" s="12"/>
      <c r="P349" s="8">
        <f>IF(N349&lt;0,N349*0,1)*N349</f>
        <v>12</v>
      </c>
      <c r="Q349" s="120">
        <f>VLOOKUP($H353,'Lookup Tables'!$A$22:$B$33,2,FALSE)+(K349*L349)</f>
        <v>3</v>
      </c>
      <c r="R349" s="121" t="str">
        <f>VLOOKUP(Q349,'Lookup Tables'!$A$38:$B$151,2,FALSE)</f>
        <v>Sept</v>
      </c>
      <c r="S349" s="36">
        <f>VLOOKUP(R349,'Lookup Tables'!$A$22:$B$33,2,FALSE)</f>
        <v>3</v>
      </c>
      <c r="T349" s="672">
        <f>VLOOKUP($E$4,'Lookup Tables'!$AQ$46:$BC$58,MATCH(PersonCalcYr3!$S349,'Lookup Tables'!$AQ$46:$BC$46),FALSE)</f>
        <v>10</v>
      </c>
      <c r="U349" s="19">
        <f>IF(P349&lt;T349,P349,T349)</f>
        <v>10</v>
      </c>
      <c r="V349" s="119">
        <f>IF((U349)&lt;=0,0,1)</f>
        <v>1</v>
      </c>
      <c r="W349" s="20">
        <f>(('Rate Tables'!$E104*$E349)*PersonCalcYr3!$U349)*$V349*$F349</f>
        <v>0</v>
      </c>
      <c r="X349" s="8">
        <f>P349-(U349*V349)</f>
        <v>2</v>
      </c>
      <c r="Y349" s="12"/>
      <c r="Z349" s="12"/>
      <c r="AA349" s="12"/>
      <c r="AB349" s="19">
        <f>X349</f>
        <v>2</v>
      </c>
      <c r="AC349" s="123">
        <f>AC315</f>
        <v>13</v>
      </c>
      <c r="AD349" s="121" t="str">
        <f>VLOOKUP(AC349,'Lookup Tables'!$A$38:$B$151,2,FALSE)</f>
        <v>July</v>
      </c>
      <c r="AE349" s="36">
        <f>VLOOKUP(AD349,'Lookup Tables'!$A$22:$B$33,2,FALSE)</f>
        <v>1</v>
      </c>
      <c r="AF349" s="87">
        <f>VLOOKUP($AE349,'Lookup Tables'!$AC$3:$AW$16,MATCH(PersonCalcYr3!$AB349,'Lookup Tables'!$AC$3:$AW$3),FALSE)</f>
        <v>2</v>
      </c>
      <c r="AG349" s="19">
        <f>IF(AB349&lt;AF349,AB349,AF349)</f>
        <v>2</v>
      </c>
      <c r="AH349" s="119">
        <f>IF((AG349)&lt;=0,0,1)</f>
        <v>1</v>
      </c>
      <c r="AI349" s="20">
        <f>(('Rate Tables'!$F104*$E349)*PersonCalcYr3!AG349)*AH349*$F349</f>
        <v>0</v>
      </c>
      <c r="AJ349" s="8">
        <f>AB349-(AG349*AH349)</f>
        <v>0</v>
      </c>
      <c r="AK349" s="12"/>
      <c r="AL349" s="12"/>
      <c r="AM349" s="19">
        <f>AJ349</f>
        <v>0</v>
      </c>
      <c r="AN349" s="123">
        <f>AN315</f>
        <v>3</v>
      </c>
      <c r="AO349" s="121" t="str">
        <f>VLOOKUP(AN349,'Lookup Tables'!$A$38:$B$151,2,FALSE)</f>
        <v>Sept</v>
      </c>
      <c r="AP349" s="36">
        <f>VLOOKUP(AO349,'Lookup Tables'!$A$22:$B$33,2,FALSE)</f>
        <v>3</v>
      </c>
      <c r="AQ349" s="87">
        <f>VLOOKUP($AP349,'Lookup Tables'!$AC$3:$AW$16,MATCH(PersonCalcYr3!$AM349,'Lookup Tables'!$AC$3:$AW$3),FALSE)</f>
        <v>0</v>
      </c>
      <c r="AR349" s="19">
        <f>IF(AM349&lt;AQ349,AM349,AQ349)</f>
        <v>0</v>
      </c>
      <c r="AS349" s="119">
        <f>IF((AR349)&lt;=0,0,1)</f>
        <v>0</v>
      </c>
      <c r="AT349" s="20">
        <f>(('Rate Tables'!$G104*$E349)*PersonCalcYr3!AR349)*AS349*$F349</f>
        <v>0</v>
      </c>
      <c r="AU349" s="8">
        <f>AM349-(AR349*AS349)</f>
        <v>0</v>
      </c>
      <c r="AV349" s="20"/>
      <c r="AW349" s="20"/>
      <c r="AX349" s="19">
        <f>AU349</f>
        <v>0</v>
      </c>
      <c r="AY349" s="123">
        <f>AY315</f>
        <v>3</v>
      </c>
      <c r="AZ349" s="121" t="str">
        <f>VLOOKUP(AY349,'Lookup Tables'!$A$38:$B$151,2,FALSE)</f>
        <v>Sept</v>
      </c>
      <c r="BA349" s="36">
        <f>VLOOKUP(AZ349,'Lookup Tables'!$A$22:$B$33,2,FALSE)</f>
        <v>3</v>
      </c>
      <c r="BB349" s="87">
        <f>VLOOKUP($BA349,'Lookup Tables'!$AC$3:$AW$16,MATCH(PersonCalcYr3!$AX349,'Lookup Tables'!$AC$3:$AW$3),FALSE)</f>
        <v>0</v>
      </c>
      <c r="BC349" s="19">
        <f>IF(AX349&lt;BB349,AX349,BB349)</f>
        <v>0</v>
      </c>
      <c r="BD349" s="119">
        <f>IF((BC349)&lt;=0,0,1)</f>
        <v>0</v>
      </c>
      <c r="BE349" s="20">
        <f>(('Rate Tables'!$H104*$E349)*PersonCalcYr3!BC349)*BD349*$F349</f>
        <v>0</v>
      </c>
      <c r="BF349" s="8">
        <f>AX349-(BC349*BD349)</f>
        <v>0</v>
      </c>
      <c r="BG349" s="20"/>
      <c r="BH349" s="20"/>
      <c r="BI349" s="20"/>
      <c r="BJ349" s="12"/>
      <c r="BK349" s="311"/>
      <c r="BL349" s="358" t="str">
        <f>IF(BL343=50%,"no",Personnel!W86)</f>
        <v>No</v>
      </c>
      <c r="BM349" s="276"/>
      <c r="BN349" s="285"/>
      <c r="BO349" s="12"/>
    </row>
    <row r="350" spans="1:67" x14ac:dyDescent="0.25">
      <c r="A350" s="145"/>
      <c r="B350" s="12"/>
      <c r="C350" s="819" t="s">
        <v>732</v>
      </c>
      <c r="D350" s="117"/>
      <c r="E350" s="13"/>
      <c r="F350" s="13" t="s">
        <v>42</v>
      </c>
      <c r="G350" s="13" t="s">
        <v>41</v>
      </c>
      <c r="H350" s="65" t="s">
        <v>77</v>
      </c>
      <c r="I350" s="150" t="s">
        <v>51</v>
      </c>
      <c r="J350" s="13" t="s">
        <v>110</v>
      </c>
      <c r="K350" s="13" t="s">
        <v>53</v>
      </c>
      <c r="L350" s="13" t="s">
        <v>82</v>
      </c>
      <c r="M350" s="13" t="s">
        <v>32</v>
      </c>
      <c r="N350" s="13" t="s">
        <v>69</v>
      </c>
      <c r="O350" s="12"/>
      <c r="P350" s="13" t="s">
        <v>72</v>
      </c>
      <c r="Q350" s="65" t="s">
        <v>80</v>
      </c>
      <c r="R350" s="62" t="s">
        <v>81</v>
      </c>
      <c r="S350" s="65" t="s">
        <v>77</v>
      </c>
      <c r="T350" s="674" t="s">
        <v>107</v>
      </c>
      <c r="U350" s="13" t="s">
        <v>78</v>
      </c>
      <c r="V350" s="13" t="s">
        <v>82</v>
      </c>
      <c r="W350" s="13" t="s">
        <v>33</v>
      </c>
      <c r="X350" s="13" t="s">
        <v>69</v>
      </c>
      <c r="Y350" s="12"/>
      <c r="Z350" s="12"/>
      <c r="AA350" s="12"/>
      <c r="AB350" s="13" t="s">
        <v>72</v>
      </c>
      <c r="AC350" s="13" t="s">
        <v>80</v>
      </c>
      <c r="AD350" s="62" t="s">
        <v>81</v>
      </c>
      <c r="AE350" s="65" t="s">
        <v>77</v>
      </c>
      <c r="AF350" s="151" t="s">
        <v>107</v>
      </c>
      <c r="AG350" s="13" t="s">
        <v>79</v>
      </c>
      <c r="AH350" s="13" t="s">
        <v>82</v>
      </c>
      <c r="AI350" s="13" t="s">
        <v>34</v>
      </c>
      <c r="AJ350" s="13" t="s">
        <v>69</v>
      </c>
      <c r="AK350" s="12"/>
      <c r="AL350" s="12"/>
      <c r="AM350" s="13" t="s">
        <v>72</v>
      </c>
      <c r="AN350" s="13" t="s">
        <v>80</v>
      </c>
      <c r="AO350" s="62" t="s">
        <v>81</v>
      </c>
      <c r="AP350" s="65" t="s">
        <v>77</v>
      </c>
      <c r="AQ350" s="151" t="s">
        <v>107</v>
      </c>
      <c r="AR350" s="13" t="s">
        <v>79</v>
      </c>
      <c r="AS350" s="13" t="s">
        <v>82</v>
      </c>
      <c r="AT350" s="13" t="s">
        <v>34</v>
      </c>
      <c r="AU350" s="13" t="s">
        <v>69</v>
      </c>
      <c r="AV350" s="20"/>
      <c r="AW350" s="20"/>
      <c r="AX350" s="13" t="s">
        <v>72</v>
      </c>
      <c r="AY350" s="13" t="s">
        <v>80</v>
      </c>
      <c r="AZ350" s="62" t="s">
        <v>81</v>
      </c>
      <c r="BA350" s="65" t="s">
        <v>77</v>
      </c>
      <c r="BB350" s="151" t="s">
        <v>107</v>
      </c>
      <c r="BC350" s="13" t="s">
        <v>79</v>
      </c>
      <c r="BD350" s="13" t="s">
        <v>82</v>
      </c>
      <c r="BE350" s="13" t="s">
        <v>34</v>
      </c>
      <c r="BF350" s="13" t="s">
        <v>69</v>
      </c>
      <c r="BG350" s="20"/>
      <c r="BH350" s="20"/>
      <c r="BI350" s="20"/>
      <c r="BJ350" s="12"/>
      <c r="BK350" s="311"/>
      <c r="BL350" s="358"/>
      <c r="BM350" s="276"/>
      <c r="BN350" s="285"/>
      <c r="BO350" s="12"/>
    </row>
    <row r="351" spans="1:67" x14ac:dyDescent="0.25">
      <c r="A351" s="145"/>
      <c r="B351" s="12"/>
      <c r="C351" s="115"/>
      <c r="D351" s="115"/>
      <c r="E351" s="152">
        <f>BL343</f>
        <v>0</v>
      </c>
      <c r="F351" s="19">
        <f>IF($D$4=2025,1,0)</f>
        <v>0</v>
      </c>
      <c r="G351" s="178">
        <f>IF($B355="Yes",$C$5,$I354)</f>
        <v>12</v>
      </c>
      <c r="H351" s="36">
        <f>VLOOKUP(H353,'Lookup Tables'!$A$22:$B$33,2,FALSE)</f>
        <v>3</v>
      </c>
      <c r="I351" s="192">
        <f>VLOOKUP($E$4,'Lookup Tables'!$AB$46:$AN$58,MATCH($H351,'Lookup Tables'!$AB$46:$AN$46),FALSE)</f>
        <v>12</v>
      </c>
      <c r="J351" s="19">
        <f>12-I351</f>
        <v>0</v>
      </c>
      <c r="K351" s="19">
        <f>IF(G351&lt;J351,G351,J351)</f>
        <v>0</v>
      </c>
      <c r="L351" s="195">
        <f>IF(12-I351&gt;=1,1,0)</f>
        <v>0</v>
      </c>
      <c r="M351" s="20">
        <f>((('Rate Tables'!$E104*$E351)*PersonCalcYr3!$K351)*L351)*$F351</f>
        <v>0</v>
      </c>
      <c r="N351" s="8">
        <f>G351-(J351*L351)</f>
        <v>12</v>
      </c>
      <c r="O351" s="12"/>
      <c r="P351" s="8">
        <f>IF(N351&lt;0,N351*0,1)*N351</f>
        <v>12</v>
      </c>
      <c r="Q351" s="120">
        <f>VLOOKUP($H353,'Lookup Tables'!$A$22:$B$33,2,FALSE)+(K351*L351)</f>
        <v>3</v>
      </c>
      <c r="R351" s="121" t="str">
        <f>VLOOKUP(Q351,'Lookup Tables'!$A$38:$B$151,2,FALSE)</f>
        <v>Sept</v>
      </c>
      <c r="S351" s="36">
        <f>VLOOKUP(R351,'Lookup Tables'!$A$22:$B$33,2,FALSE)</f>
        <v>3</v>
      </c>
      <c r="T351" s="672">
        <f>VLOOKUP($E$4,'Lookup Tables'!$AQ$46:$BC$58,MATCH(PersonCalcYr3!$S351,'Lookup Tables'!$AQ$46:$BC$46),FALSE)</f>
        <v>10</v>
      </c>
      <c r="U351" s="19">
        <f>IF(P351&lt;T351,P351,T351)</f>
        <v>10</v>
      </c>
      <c r="V351" s="119">
        <f>IF((U351)&lt;=0,0,1)</f>
        <v>1</v>
      </c>
      <c r="W351" s="20">
        <f>(('Rate Tables'!$F104*$E351)*PersonCalcYr3!$U351)*$V351*$F351</f>
        <v>0</v>
      </c>
      <c r="X351" s="8">
        <f>P351-(U351*V351)</f>
        <v>2</v>
      </c>
      <c r="Y351" s="12"/>
      <c r="Z351" s="12"/>
      <c r="AA351" s="12"/>
      <c r="AB351" s="19">
        <f>X351</f>
        <v>2</v>
      </c>
      <c r="AC351" s="123">
        <f>AC317</f>
        <v>13</v>
      </c>
      <c r="AD351" s="121" t="str">
        <f>VLOOKUP(AC351,'Lookup Tables'!$A$38:$B$151,2,FALSE)</f>
        <v>July</v>
      </c>
      <c r="AE351" s="36">
        <f>VLOOKUP(AD351,'Lookup Tables'!$A$22:$B$33,2,FALSE)</f>
        <v>1</v>
      </c>
      <c r="AF351" s="87">
        <f>VLOOKUP($AE351,'Lookup Tables'!$AC$3:$AW$16,MATCH(PersonCalcYr3!$AB351,'Lookup Tables'!$AC$3:$AW$3),FALSE)</f>
        <v>2</v>
      </c>
      <c r="AG351" s="19">
        <f>IF(AB351&lt;AF351,AB351,AF351)</f>
        <v>2</v>
      </c>
      <c r="AH351" s="119">
        <f>IF((AG351)&lt;=0,0,1)</f>
        <v>1</v>
      </c>
      <c r="AI351" s="20">
        <f>(('Rate Tables'!$G104*$E351)*PersonCalcYr3!AG351)*AH351*$F351</f>
        <v>0</v>
      </c>
      <c r="AJ351" s="8">
        <f>AB351-(AG351*AH351)</f>
        <v>0</v>
      </c>
      <c r="AK351" s="12"/>
      <c r="AL351" s="12"/>
      <c r="AM351" s="19">
        <f>AJ351</f>
        <v>0</v>
      </c>
      <c r="AN351" s="123">
        <f>AN317</f>
        <v>3</v>
      </c>
      <c r="AO351" s="121" t="str">
        <f>VLOOKUP(AN351,'Lookup Tables'!$A$38:$B$151,2,FALSE)</f>
        <v>Sept</v>
      </c>
      <c r="AP351" s="36">
        <f>VLOOKUP(AO351,'Lookup Tables'!$A$22:$B$33,2,FALSE)</f>
        <v>3</v>
      </c>
      <c r="AQ351" s="87">
        <f>VLOOKUP($AP351,'Lookup Tables'!$AC$3:$AW$16,MATCH(PersonCalcYr3!$AM351,'Lookup Tables'!$AC$3:$AW$3),FALSE)</f>
        <v>0</v>
      </c>
      <c r="AR351" s="19">
        <f>IF(AM351&lt;AQ351,AM351,AQ351)</f>
        <v>0</v>
      </c>
      <c r="AS351" s="119">
        <f>IF((AR351)&lt;=0,0,1)</f>
        <v>0</v>
      </c>
      <c r="AT351" s="20">
        <f>(('Rate Tables'!$H104*$E351)*PersonCalcYr3!AR351)*AS351*$F351</f>
        <v>0</v>
      </c>
      <c r="AU351" s="8">
        <f>AM351-(AR351*AS351)</f>
        <v>0</v>
      </c>
      <c r="AV351" s="20"/>
      <c r="AW351" s="20"/>
      <c r="AX351" s="19">
        <f>AU351</f>
        <v>0</v>
      </c>
      <c r="AY351" s="123">
        <f>AY317</f>
        <v>3</v>
      </c>
      <c r="AZ351" s="121" t="str">
        <f>VLOOKUP(AY351,'Lookup Tables'!$A$38:$B$151,2,FALSE)</f>
        <v>Sept</v>
      </c>
      <c r="BA351" s="36">
        <f>VLOOKUP(AZ351,'Lookup Tables'!$A$22:$B$33,2,FALSE)</f>
        <v>3</v>
      </c>
      <c r="BB351" s="87">
        <f>VLOOKUP($BA351,'Lookup Tables'!$AC$3:$AW$16,MATCH(PersonCalcYr3!$AX351,'Lookup Tables'!$AC$3:$AW$3),FALSE)</f>
        <v>0</v>
      </c>
      <c r="BC351" s="19">
        <f>IF(AX351&lt;BB351,AX351,BB351)</f>
        <v>0</v>
      </c>
      <c r="BD351" s="119">
        <f>IF((BC351)&lt;=0,0,1)</f>
        <v>0</v>
      </c>
      <c r="BE351" s="20">
        <f>(('Rate Tables'!$I104*$E351)*PersonCalcYr3!BC351)*BD351*$F351</f>
        <v>0</v>
      </c>
      <c r="BF351" s="8">
        <f>AX351-(BC351*BD351)</f>
        <v>0</v>
      </c>
      <c r="BG351" s="20"/>
      <c r="BH351" s="20"/>
      <c r="BI351" s="20"/>
      <c r="BJ351" s="12"/>
      <c r="BK351" s="311"/>
      <c r="BL351" s="358"/>
      <c r="BM351" s="276"/>
      <c r="BN351" s="285"/>
      <c r="BO351" s="12"/>
    </row>
    <row r="352" spans="1:67" x14ac:dyDescent="0.25">
      <c r="A352" s="145"/>
      <c r="B352" s="12" t="s">
        <v>127</v>
      </c>
      <c r="C352" s="12"/>
      <c r="D352" s="12"/>
      <c r="E352" s="12"/>
      <c r="F352" s="12"/>
      <c r="G352" s="12"/>
      <c r="H352" s="12"/>
      <c r="I352" s="12"/>
      <c r="J352" s="12"/>
      <c r="K352" s="12"/>
      <c r="L352" s="13"/>
      <c r="M352" s="13" t="s">
        <v>129</v>
      </c>
      <c r="N352" s="13" t="s">
        <v>128</v>
      </c>
      <c r="O352" s="153" t="s">
        <v>130</v>
      </c>
      <c r="P352" s="12"/>
      <c r="Q352" s="12"/>
      <c r="R352" s="12"/>
      <c r="S352" s="12"/>
      <c r="T352" s="12"/>
      <c r="U352" s="12"/>
      <c r="V352" s="12"/>
      <c r="W352" s="12"/>
      <c r="X352" s="12"/>
      <c r="Y352" s="13" t="s">
        <v>129</v>
      </c>
      <c r="Z352" s="13" t="s">
        <v>128</v>
      </c>
      <c r="AA352" s="153" t="s">
        <v>130</v>
      </c>
      <c r="AB352" s="12"/>
      <c r="AC352" s="12"/>
      <c r="AD352" s="12"/>
      <c r="AE352" s="12"/>
      <c r="AF352" s="12"/>
      <c r="AG352" s="12"/>
      <c r="AH352" s="12"/>
      <c r="AI352" s="12"/>
      <c r="AJ352" s="13" t="s">
        <v>129</v>
      </c>
      <c r="AK352" s="13" t="s">
        <v>128</v>
      </c>
      <c r="AL352" s="153" t="s">
        <v>130</v>
      </c>
      <c r="AM352" s="11"/>
      <c r="AN352" s="12"/>
      <c r="AO352" s="12"/>
      <c r="AP352" s="12"/>
      <c r="AQ352" s="12"/>
      <c r="AR352" s="12"/>
      <c r="AS352" s="12"/>
      <c r="AT352" s="12"/>
      <c r="AU352" s="13" t="s">
        <v>129</v>
      </c>
      <c r="AV352" s="13" t="s">
        <v>128</v>
      </c>
      <c r="AW352" s="153" t="s">
        <v>130</v>
      </c>
      <c r="AX352" s="153"/>
      <c r="AY352" s="153"/>
      <c r="AZ352" s="153"/>
      <c r="BA352" s="153"/>
      <c r="BB352" s="153"/>
      <c r="BC352" s="153"/>
      <c r="BD352" s="153"/>
      <c r="BE352" s="153"/>
      <c r="BF352" s="13" t="s">
        <v>129</v>
      </c>
      <c r="BG352" s="13" t="s">
        <v>128</v>
      </c>
      <c r="BH352" s="153" t="s">
        <v>130</v>
      </c>
      <c r="BI352" s="13" t="s">
        <v>159</v>
      </c>
      <c r="BJ352" s="12"/>
      <c r="BK352" s="227"/>
      <c r="BL352" s="349">
        <f>IF(BL349="yes",0.5,1)</f>
        <v>1</v>
      </c>
      <c r="BM352" s="12"/>
      <c r="BN352" s="285"/>
      <c r="BO352" s="372">
        <f>VLOOKUP('F&amp;ARatesCalc'!$B$1,'F&amp;ARatesCalc'!$A$3:$B$5,2,FALSE)</f>
        <v>0.56999999999999995</v>
      </c>
    </row>
    <row r="353" spans="1:67" x14ac:dyDescent="0.25">
      <c r="A353" s="145"/>
      <c r="B353" s="12"/>
      <c r="C353" s="12"/>
      <c r="D353" s="12"/>
      <c r="E353" s="12"/>
      <c r="F353" s="12"/>
      <c r="G353" s="178" t="s">
        <v>430</v>
      </c>
      <c r="H353" s="178" t="str">
        <f>IF(B355="yes",$C$4,A357)</f>
        <v>Sept</v>
      </c>
      <c r="I353" s="12"/>
      <c r="J353" s="12"/>
      <c r="K353" s="12"/>
      <c r="L353" s="12"/>
      <c r="M353" s="129">
        <f>'Rate Tables'!$P$17</f>
        <v>910</v>
      </c>
      <c r="N353" s="146">
        <f>(K345*L345)*F345</f>
        <v>0</v>
      </c>
      <c r="O353" s="154">
        <f>M353*N353</f>
        <v>0</v>
      </c>
      <c r="P353" s="12"/>
      <c r="Q353" s="12"/>
      <c r="R353" s="12"/>
      <c r="S353" s="12"/>
      <c r="T353" s="12"/>
      <c r="U353" s="12"/>
      <c r="V353" s="12"/>
      <c r="W353" s="12"/>
      <c r="X353" s="12"/>
      <c r="Y353" s="129">
        <f>'Rate Tables'!$P$18</f>
        <v>910</v>
      </c>
      <c r="Z353" s="146">
        <f>U345*V345*F345</f>
        <v>0</v>
      </c>
      <c r="AA353" s="125">
        <f>Y353*Z353</f>
        <v>0</v>
      </c>
      <c r="AB353" s="12"/>
      <c r="AC353" s="12"/>
      <c r="AD353" s="12"/>
      <c r="AE353" s="12"/>
      <c r="AF353" s="12"/>
      <c r="AG353" s="12"/>
      <c r="AH353" s="12"/>
      <c r="AI353" s="12"/>
      <c r="AJ353" s="129">
        <f>'Rate Tables'!$P$19</f>
        <v>910</v>
      </c>
      <c r="AK353" s="146">
        <f>AG345*AH345*F345</f>
        <v>0</v>
      </c>
      <c r="AL353" s="125">
        <f>AJ353*AK353</f>
        <v>0</v>
      </c>
      <c r="AM353" s="11"/>
      <c r="AN353" s="12"/>
      <c r="AO353" s="12"/>
      <c r="AP353" s="12"/>
      <c r="AQ353" s="12"/>
      <c r="AR353" s="12"/>
      <c r="AS353" s="12"/>
      <c r="AT353" s="12"/>
      <c r="AU353" s="129">
        <f>'Rate Tables'!$P$20</f>
        <v>928.2</v>
      </c>
      <c r="AV353" s="146">
        <f>AR345*AS345*F345</f>
        <v>0</v>
      </c>
      <c r="AW353" s="125">
        <f>AU353*AV353</f>
        <v>0</v>
      </c>
      <c r="AX353" s="125"/>
      <c r="AY353" s="125"/>
      <c r="AZ353" s="125"/>
      <c r="BA353" s="125"/>
      <c r="BB353" s="125"/>
      <c r="BC353" s="125"/>
      <c r="BD353" s="125"/>
      <c r="BE353" s="125"/>
      <c r="BF353" s="129">
        <f>'Rate Tables'!$P$21</f>
        <v>946.76</v>
      </c>
      <c r="BG353" s="146">
        <f>BC345*BD345*F345</f>
        <v>0</v>
      </c>
      <c r="BH353" s="125">
        <f>BF353*BG353</f>
        <v>0</v>
      </c>
      <c r="BI353" s="19">
        <f>VLOOKUP(B307,'Lookup Tables'!$AK$22:$AM$24,3,0)</f>
        <v>1</v>
      </c>
      <c r="BJ353" s="12"/>
      <c r="BK353" s="307"/>
      <c r="BL353" s="125"/>
      <c r="BM353" s="12"/>
      <c r="BN353" s="285"/>
      <c r="BO353" s="12" t="s">
        <v>417</v>
      </c>
    </row>
    <row r="354" spans="1:67" x14ac:dyDescent="0.25">
      <c r="A354" s="145"/>
      <c r="B354" s="12"/>
      <c r="C354" s="12"/>
      <c r="D354" s="12"/>
      <c r="E354" s="12"/>
      <c r="F354" s="12"/>
      <c r="G354" s="818" t="s">
        <v>665</v>
      </c>
      <c r="H354" s="11">
        <f>IF(H357&lt;$C$5,H357,$C$5)</f>
        <v>12</v>
      </c>
      <c r="I354" s="178">
        <f>IF(B357&lt;=H357,B357,H357)</f>
        <v>0</v>
      </c>
      <c r="J354" s="12"/>
      <c r="K354" s="12"/>
      <c r="L354" s="12"/>
      <c r="M354" s="129">
        <f>'Rate Tables'!$P$18</f>
        <v>910</v>
      </c>
      <c r="N354" s="146">
        <f>K347*L347*F347</f>
        <v>0</v>
      </c>
      <c r="O354" s="154">
        <f>M354*N354</f>
        <v>0</v>
      </c>
      <c r="P354" s="12"/>
      <c r="Q354" s="12"/>
      <c r="R354" s="12"/>
      <c r="S354" s="12"/>
      <c r="T354" s="12"/>
      <c r="U354" s="12"/>
      <c r="V354" s="12"/>
      <c r="W354" s="12"/>
      <c r="X354" s="12"/>
      <c r="Y354" s="129">
        <f>'Rate Tables'!$P$19</f>
        <v>910</v>
      </c>
      <c r="Z354" s="146">
        <f>U347*V347*F347</f>
        <v>0</v>
      </c>
      <c r="AA354" s="125">
        <f>Y354*Z354</f>
        <v>0</v>
      </c>
      <c r="AB354" s="12"/>
      <c r="AC354" s="12"/>
      <c r="AD354" s="12"/>
      <c r="AE354" s="12"/>
      <c r="AF354" s="12"/>
      <c r="AG354" s="12"/>
      <c r="AH354" s="12"/>
      <c r="AI354" s="12"/>
      <c r="AJ354" s="129">
        <f>'Rate Tables'!$P$20</f>
        <v>928.2</v>
      </c>
      <c r="AK354" s="146">
        <f>AG347*AH347*F347</f>
        <v>0</v>
      </c>
      <c r="AL354" s="125">
        <f>AJ354*AK354</f>
        <v>0</v>
      </c>
      <c r="AM354" s="11"/>
      <c r="AN354" s="12"/>
      <c r="AO354" s="12"/>
      <c r="AP354" s="12"/>
      <c r="AQ354" s="12"/>
      <c r="AR354" s="12"/>
      <c r="AS354" s="12"/>
      <c r="AT354" s="12"/>
      <c r="AU354" s="129">
        <f>'Rate Tables'!$P$21</f>
        <v>946.76</v>
      </c>
      <c r="AV354" s="146">
        <f>AR347*AS347*F347</f>
        <v>0</v>
      </c>
      <c r="AW354" s="125">
        <f>AU354*AV354</f>
        <v>0</v>
      </c>
      <c r="AX354" s="125"/>
      <c r="AY354" s="125"/>
      <c r="AZ354" s="125"/>
      <c r="BA354" s="125"/>
      <c r="BB354" s="125"/>
      <c r="BC354" s="125"/>
      <c r="BD354" s="125"/>
      <c r="BE354" s="125"/>
      <c r="BF354" s="129">
        <f>'Rate Tables'!$P$22</f>
        <v>965.7</v>
      </c>
      <c r="BG354" s="146">
        <f>BC347*BD347*F347</f>
        <v>0</v>
      </c>
      <c r="BH354" s="125">
        <f>BF354*BG354</f>
        <v>0</v>
      </c>
      <c r="BI354" s="12" t="s">
        <v>244</v>
      </c>
      <c r="BJ354" s="12"/>
      <c r="BK354" s="307"/>
      <c r="BL354" s="12"/>
      <c r="BM354" s="12"/>
      <c r="BN354" s="285"/>
      <c r="BO354" s="12">
        <f>(BN355+BN356)*BO352</f>
        <v>0</v>
      </c>
    </row>
    <row r="355" spans="1:67" x14ac:dyDescent="0.25">
      <c r="A355" s="377" t="s">
        <v>431</v>
      </c>
      <c r="B355" s="375" t="str">
        <f>Personnel!U82</f>
        <v>YES</v>
      </c>
      <c r="C355" s="12"/>
      <c r="D355" s="12"/>
      <c r="E355" s="12"/>
      <c r="F355" s="12"/>
      <c r="G355" s="818" t="s">
        <v>559</v>
      </c>
      <c r="H355" s="12">
        <f>BK328</f>
        <v>0</v>
      </c>
      <c r="I355" s="12"/>
      <c r="J355" s="12"/>
      <c r="K355" s="12"/>
      <c r="L355" s="12"/>
      <c r="M355" s="129">
        <f>'Rate Tables'!$P$19</f>
        <v>910</v>
      </c>
      <c r="N355" s="146">
        <f>K349*L349*F349</f>
        <v>0</v>
      </c>
      <c r="O355" s="154">
        <f>M355*N355</f>
        <v>0</v>
      </c>
      <c r="P355" s="12"/>
      <c r="Q355" s="12"/>
      <c r="R355" s="12"/>
      <c r="S355" s="12"/>
      <c r="T355" s="12"/>
      <c r="U355" s="12"/>
      <c r="V355" s="12"/>
      <c r="W355" s="12"/>
      <c r="X355" s="12"/>
      <c r="Y355" s="129">
        <f>'Rate Tables'!$P$20</f>
        <v>928.2</v>
      </c>
      <c r="Z355" s="146">
        <f>U349*V349*F349</f>
        <v>10</v>
      </c>
      <c r="AA355" s="125">
        <f>Y355*Z355</f>
        <v>9282</v>
      </c>
      <c r="AB355" s="12"/>
      <c r="AC355" s="12"/>
      <c r="AD355" s="12"/>
      <c r="AE355" s="12"/>
      <c r="AF355" s="12"/>
      <c r="AG355" s="12"/>
      <c r="AH355" s="12"/>
      <c r="AI355" s="12"/>
      <c r="AJ355" s="129">
        <f>'Rate Tables'!$P$21</f>
        <v>946.76</v>
      </c>
      <c r="AK355" s="146">
        <f>AG349*AH349*F349</f>
        <v>2</v>
      </c>
      <c r="AL355" s="125">
        <f>AJ355*AK355</f>
        <v>1893.52</v>
      </c>
      <c r="AM355" s="11"/>
      <c r="AN355" s="12"/>
      <c r="AO355" s="12"/>
      <c r="AP355" s="12"/>
      <c r="AQ355" s="12"/>
      <c r="AR355" s="12"/>
      <c r="AS355" s="12"/>
      <c r="AT355" s="12"/>
      <c r="AU355" s="129">
        <f>'Rate Tables'!$P$22</f>
        <v>965.7</v>
      </c>
      <c r="AV355" s="146">
        <f>AR349*AS349*F349</f>
        <v>0</v>
      </c>
      <c r="AW355" s="125">
        <f>AU355*AV355</f>
        <v>0</v>
      </c>
      <c r="AX355" s="125"/>
      <c r="AY355" s="125"/>
      <c r="AZ355" s="125"/>
      <c r="BA355" s="125"/>
      <c r="BB355" s="125"/>
      <c r="BC355" s="125"/>
      <c r="BD355" s="125"/>
      <c r="BE355" s="125"/>
      <c r="BF355" s="129">
        <f>'Rate Tables'!$P$23</f>
        <v>985.01</v>
      </c>
      <c r="BG355" s="146">
        <f>BC349*BD349*F349</f>
        <v>0</v>
      </c>
      <c r="BH355" s="125">
        <f>BF355*BG355</f>
        <v>0</v>
      </c>
      <c r="BI355" s="12">
        <f>IF(BN355&gt;=1,1,0)</f>
        <v>0</v>
      </c>
      <c r="BJ355" s="12"/>
      <c r="BK355" s="227"/>
      <c r="BL355" s="226"/>
      <c r="BM355" s="278" t="s">
        <v>96</v>
      </c>
      <c r="BN355" s="285">
        <f>BN309+BN326+BN343</f>
        <v>0</v>
      </c>
      <c r="BO355" s="15"/>
    </row>
    <row r="356" spans="1:67" ht="15.75" thickBot="1" x14ac:dyDescent="0.3">
      <c r="A356" s="296" t="s">
        <v>439</v>
      </c>
      <c r="B356" s="114" t="s">
        <v>427</v>
      </c>
      <c r="C356" s="12"/>
      <c r="D356" s="12"/>
      <c r="E356" s="12"/>
      <c r="F356" s="12"/>
      <c r="G356" s="818" t="s">
        <v>560</v>
      </c>
      <c r="H356" s="178">
        <f>VLOOKUP(H345,'Lookup Tables'!$L$62:$Y$74,MATCH(G345,'Lookup Tables'!$L$62:$Y$62,FALSE))</f>
        <v>65</v>
      </c>
      <c r="I356" s="12"/>
      <c r="J356" s="12"/>
      <c r="K356" s="12"/>
      <c r="L356" s="12"/>
      <c r="M356" s="129">
        <f>'Rate Tables'!$P$20</f>
        <v>928.2</v>
      </c>
      <c r="N356" s="146">
        <f>K351*L351*F351</f>
        <v>0</v>
      </c>
      <c r="O356" s="154">
        <f>M356*N356</f>
        <v>0</v>
      </c>
      <c r="P356" s="12"/>
      <c r="Q356" s="12"/>
      <c r="R356" s="12"/>
      <c r="S356" s="12"/>
      <c r="T356" s="12"/>
      <c r="U356" s="12"/>
      <c r="V356" s="12"/>
      <c r="W356" s="12"/>
      <c r="X356" s="12"/>
      <c r="Y356" s="129">
        <f>'Rate Tables'!$P$21</f>
        <v>946.76</v>
      </c>
      <c r="Z356" s="146">
        <f>U351*V351*F351</f>
        <v>0</v>
      </c>
      <c r="AA356" s="125">
        <f>Y356*Z356</f>
        <v>0</v>
      </c>
      <c r="AB356" s="12"/>
      <c r="AC356" s="12"/>
      <c r="AD356" s="12"/>
      <c r="AE356" s="12"/>
      <c r="AF356" s="12"/>
      <c r="AG356" s="12"/>
      <c r="AH356" s="12"/>
      <c r="AI356" s="12"/>
      <c r="AJ356" s="129">
        <f>'Rate Tables'!$P$22</f>
        <v>965.7</v>
      </c>
      <c r="AK356" s="146">
        <f>AG351*AH351*F351</f>
        <v>0</v>
      </c>
      <c r="AL356" s="125">
        <f>AJ356*AK356</f>
        <v>0</v>
      </c>
      <c r="AM356" s="12"/>
      <c r="AN356" s="12"/>
      <c r="AO356" s="12"/>
      <c r="AP356" s="12"/>
      <c r="AQ356" s="12"/>
      <c r="AR356" s="12"/>
      <c r="AS356" s="12"/>
      <c r="AT356" s="12"/>
      <c r="AU356" s="129">
        <f>'Rate Tables'!$P$23</f>
        <v>985.01</v>
      </c>
      <c r="AV356" s="146">
        <f>AR351*AS351*F351</f>
        <v>0</v>
      </c>
      <c r="AW356" s="125">
        <f>AU356*AV356</f>
        <v>0</v>
      </c>
      <c r="AX356" s="12"/>
      <c r="AY356" s="12"/>
      <c r="AZ356" s="12"/>
      <c r="BA356" s="12"/>
      <c r="BB356" s="12"/>
      <c r="BC356" s="12"/>
      <c r="BD356" s="12"/>
      <c r="BE356" s="12"/>
      <c r="BF356" s="129">
        <f>'Rate Tables'!$P$24</f>
        <v>1004.71</v>
      </c>
      <c r="BG356" s="146">
        <f>BC351*BD351*F351</f>
        <v>0</v>
      </c>
      <c r="BH356" s="125">
        <f>BF356*BG356</f>
        <v>0</v>
      </c>
      <c r="BI356" s="12"/>
      <c r="BJ356" s="12"/>
      <c r="BK356" s="227"/>
      <c r="BL356" s="224"/>
      <c r="BM356" s="278" t="s">
        <v>415</v>
      </c>
      <c r="BN356" s="285">
        <f>BN311+BN327+BN345</f>
        <v>0</v>
      </c>
      <c r="BO356" s="15"/>
    </row>
    <row r="357" spans="1:67" ht="15.75" thickBot="1" x14ac:dyDescent="0.3">
      <c r="A357" s="380">
        <f>Personnel!U83</f>
        <v>0</v>
      </c>
      <c r="B357" s="273">
        <f>Personnel!U84</f>
        <v>0</v>
      </c>
      <c r="C357" s="12"/>
      <c r="D357" s="12"/>
      <c r="E357" s="12"/>
      <c r="F357" s="12"/>
      <c r="G357" s="818" t="s">
        <v>555</v>
      </c>
      <c r="H357" s="175">
        <f>VLOOKUP($E$4,'Lookup Tables'!$L$46:$AA$58,MATCH($H$311,'Lookup Tables'!$L$46:$X$46),FALSE)</f>
        <v>12</v>
      </c>
      <c r="I357" s="12"/>
      <c r="J357" s="12"/>
      <c r="K357" s="12"/>
      <c r="L357" s="12"/>
      <c r="M357" s="12"/>
      <c r="N357" s="12"/>
      <c r="O357" s="155"/>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227"/>
      <c r="BL357" s="224"/>
      <c r="BM357" s="278" t="s">
        <v>185</v>
      </c>
      <c r="BN357" s="285">
        <f>(BN313+BN329+BN347)*BI355</f>
        <v>0</v>
      </c>
      <c r="BO357" s="373">
        <f>BN355+BN356+BN357+BO354</f>
        <v>0</v>
      </c>
    </row>
    <row r="358" spans="1:67" ht="15.75" thickBot="1" x14ac:dyDescent="0.3">
      <c r="A358" s="148"/>
      <c r="B358" s="149"/>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49"/>
      <c r="AL358" s="149"/>
      <c r="AM358" s="149"/>
      <c r="AN358" s="149"/>
      <c r="AO358" s="149"/>
      <c r="AP358" s="149"/>
      <c r="AQ358" s="149"/>
      <c r="AR358" s="149"/>
      <c r="AS358" s="149"/>
      <c r="AT358" s="149"/>
      <c r="AU358" s="149"/>
      <c r="AV358" s="149"/>
      <c r="AW358" s="149"/>
      <c r="AX358" s="149"/>
      <c r="AY358" s="149"/>
      <c r="AZ358" s="149"/>
      <c r="BA358" s="149"/>
      <c r="BB358" s="149"/>
      <c r="BC358" s="149"/>
      <c r="BD358" s="149"/>
      <c r="BE358" s="149"/>
      <c r="BF358" s="149"/>
      <c r="BG358" s="149"/>
      <c r="BH358" s="149"/>
      <c r="BI358" s="149"/>
      <c r="BJ358" s="149"/>
      <c r="BK358" s="280"/>
      <c r="BL358" s="149"/>
      <c r="BM358" s="149"/>
      <c r="BN358" s="281"/>
      <c r="BO358" s="374"/>
    </row>
    <row r="359" spans="1:67" x14ac:dyDescent="0.25">
      <c r="A359" s="257" t="s">
        <v>197</v>
      </c>
      <c r="B359" s="359" t="str">
        <f>Personnel!C90</f>
        <v>12 Month</v>
      </c>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4"/>
      <c r="AL359" s="144"/>
      <c r="AM359" s="144"/>
      <c r="AN359" s="144"/>
      <c r="AO359" s="144"/>
      <c r="AP359" s="144"/>
      <c r="AQ359" s="144"/>
      <c r="AR359" s="144"/>
      <c r="AS359" s="144"/>
      <c r="AT359" s="144"/>
      <c r="AU359" s="144"/>
      <c r="AV359" s="144"/>
      <c r="AW359" s="144"/>
      <c r="AX359" s="144"/>
      <c r="AY359" s="144"/>
      <c r="AZ359" s="144"/>
      <c r="BA359" s="144"/>
      <c r="BB359" s="144"/>
      <c r="BC359" s="144"/>
      <c r="BD359" s="144"/>
      <c r="BE359" s="144"/>
      <c r="BF359" s="144"/>
      <c r="BG359" s="144"/>
      <c r="BH359" s="144"/>
      <c r="BI359" s="144"/>
      <c r="BJ359" s="144"/>
      <c r="BK359" s="282"/>
      <c r="BL359" s="144"/>
      <c r="BM359" s="144"/>
      <c r="BN359" s="283"/>
      <c r="BO359" s="12"/>
    </row>
    <row r="360" spans="1:67" ht="26.25" x14ac:dyDescent="0.25">
      <c r="A360" s="258" t="s">
        <v>174</v>
      </c>
      <c r="B360" s="155" t="s">
        <v>12</v>
      </c>
      <c r="C360" s="259" t="s">
        <v>605</v>
      </c>
      <c r="D360" s="12"/>
      <c r="E360" s="12"/>
      <c r="F360" s="12"/>
      <c r="G360" s="12" t="s">
        <v>182</v>
      </c>
      <c r="H360" s="12"/>
      <c r="I360" s="12"/>
      <c r="J360" s="12"/>
      <c r="K360" s="12"/>
      <c r="L360" s="12"/>
      <c r="M360" s="12" t="s">
        <v>167</v>
      </c>
      <c r="N360" s="12"/>
      <c r="O360" s="12">
        <v>21</v>
      </c>
      <c r="P360" s="12"/>
      <c r="Q360" s="12"/>
      <c r="R360" s="12"/>
      <c r="S360" s="12"/>
      <c r="T360" s="12"/>
      <c r="U360" s="12"/>
      <c r="V360" s="12"/>
      <c r="W360" s="12"/>
      <c r="X360" s="12"/>
      <c r="Y360" s="12" t="s">
        <v>168</v>
      </c>
      <c r="Z360" s="12"/>
      <c r="AA360" s="12">
        <v>22</v>
      </c>
      <c r="AB360" s="12"/>
      <c r="AC360" s="12"/>
      <c r="AD360" s="12"/>
      <c r="AE360" s="12"/>
      <c r="AF360" s="12"/>
      <c r="AG360" s="12"/>
      <c r="AH360" s="12"/>
      <c r="AI360" s="12"/>
      <c r="AJ360" s="12" t="s">
        <v>169</v>
      </c>
      <c r="AK360" s="12"/>
      <c r="AL360" s="12">
        <v>23</v>
      </c>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227"/>
      <c r="BL360" s="12"/>
      <c r="BM360" s="12"/>
      <c r="BN360" s="275"/>
      <c r="BO360" s="12"/>
    </row>
    <row r="361" spans="1:67" x14ac:dyDescent="0.25">
      <c r="A361" s="356">
        <f>Personnel!C91</f>
        <v>0</v>
      </c>
      <c r="B361" s="357">
        <f>Personnel!C92</f>
        <v>0</v>
      </c>
      <c r="C361" s="115">
        <f>(B361*9)*2</f>
        <v>0</v>
      </c>
      <c r="D361" s="12"/>
      <c r="E361" s="12"/>
      <c r="F361" s="12"/>
      <c r="G361" s="12"/>
      <c r="H361" s="12"/>
      <c r="I361" s="12"/>
      <c r="J361" s="12"/>
      <c r="K361" s="12"/>
      <c r="L361" s="12"/>
      <c r="M361" s="12"/>
      <c r="N361" s="12"/>
      <c r="O361" s="12">
        <v>22</v>
      </c>
      <c r="P361" s="12"/>
      <c r="Q361" s="12"/>
      <c r="R361" s="12"/>
      <c r="S361" s="12"/>
      <c r="T361" s="12"/>
      <c r="U361" s="12"/>
      <c r="V361" s="12"/>
      <c r="W361" s="12"/>
      <c r="X361" s="12"/>
      <c r="Y361" s="12"/>
      <c r="Z361" s="12"/>
      <c r="AA361" s="12">
        <v>23</v>
      </c>
      <c r="AB361" s="12"/>
      <c r="AC361" s="12"/>
      <c r="AD361" s="12"/>
      <c r="AE361" s="12"/>
      <c r="AF361" s="12"/>
      <c r="AG361" s="12"/>
      <c r="AH361" s="12"/>
      <c r="AI361" s="12"/>
      <c r="AJ361" s="12"/>
      <c r="AK361" s="12"/>
      <c r="AL361" s="12">
        <v>24</v>
      </c>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306" t="s">
        <v>412</v>
      </c>
      <c r="BL361" s="348">
        <f>Personnel!W91</f>
        <v>0</v>
      </c>
      <c r="BM361" s="276" t="s">
        <v>414</v>
      </c>
      <c r="BN361" s="285">
        <f>(N363+Z363+AK363+AV363+BG363+N365+Z365+AK365+AV365+BG365+N367+Z367+AK367+AV367+BG367+N369+Z369+AK369+AV369+BG369)*BI363</f>
        <v>0</v>
      </c>
      <c r="BO361" s="15"/>
    </row>
    <row r="362" spans="1:67" x14ac:dyDescent="0.25">
      <c r="A362" s="145"/>
      <c r="B362" s="12"/>
      <c r="C362" s="117" t="s">
        <v>30</v>
      </c>
      <c r="D362" s="12"/>
      <c r="E362" s="13" t="s">
        <v>16</v>
      </c>
      <c r="F362" s="13" t="s">
        <v>42</v>
      </c>
      <c r="G362" s="13" t="s">
        <v>41</v>
      </c>
      <c r="H362" s="65" t="s">
        <v>77</v>
      </c>
      <c r="I362" s="64" t="s">
        <v>90</v>
      </c>
      <c r="J362" s="63" t="s">
        <v>70</v>
      </c>
      <c r="K362" s="52" t="s">
        <v>93</v>
      </c>
      <c r="L362" s="13" t="s">
        <v>35</v>
      </c>
      <c r="M362" s="13" t="s">
        <v>82</v>
      </c>
      <c r="N362" s="13" t="s">
        <v>31</v>
      </c>
      <c r="O362" s="14" t="s">
        <v>69</v>
      </c>
      <c r="P362" s="13" t="s">
        <v>72</v>
      </c>
      <c r="Q362" s="65" t="s">
        <v>80</v>
      </c>
      <c r="R362" s="62" t="s">
        <v>81</v>
      </c>
      <c r="S362" s="65" t="s">
        <v>77</v>
      </c>
      <c r="T362" s="600" t="s">
        <v>83</v>
      </c>
      <c r="U362" s="63" t="s">
        <v>70</v>
      </c>
      <c r="V362" s="13" t="s">
        <v>91</v>
      </c>
      <c r="W362" s="13" t="s">
        <v>43</v>
      </c>
      <c r="X362" s="13" t="s">
        <v>53</v>
      </c>
      <c r="Y362" s="13" t="s">
        <v>68</v>
      </c>
      <c r="Z362" s="13" t="s">
        <v>32</v>
      </c>
      <c r="AA362" s="14" t="s">
        <v>69</v>
      </c>
      <c r="AB362" s="13" t="s">
        <v>72</v>
      </c>
      <c r="AC362" s="13" t="s">
        <v>80</v>
      </c>
      <c r="AD362" s="62" t="s">
        <v>81</v>
      </c>
      <c r="AE362" s="65" t="s">
        <v>77</v>
      </c>
      <c r="AF362" s="63" t="s">
        <v>70</v>
      </c>
      <c r="AG362" s="13" t="s">
        <v>92</v>
      </c>
      <c r="AH362" s="13" t="s">
        <v>44</v>
      </c>
      <c r="AI362" s="13" t="s">
        <v>78</v>
      </c>
      <c r="AJ362" s="13" t="s">
        <v>68</v>
      </c>
      <c r="AK362" s="13" t="s">
        <v>33</v>
      </c>
      <c r="AL362" s="14" t="s">
        <v>69</v>
      </c>
      <c r="AM362" s="13" t="s">
        <v>72</v>
      </c>
      <c r="AN362" s="13" t="s">
        <v>80</v>
      </c>
      <c r="AO362" s="62" t="s">
        <v>81</v>
      </c>
      <c r="AP362" s="65" t="s">
        <v>77</v>
      </c>
      <c r="AQ362" s="63" t="s">
        <v>70</v>
      </c>
      <c r="AR362" s="13" t="s">
        <v>92</v>
      </c>
      <c r="AS362" s="13" t="s">
        <v>44</v>
      </c>
      <c r="AT362" s="13" t="s">
        <v>78</v>
      </c>
      <c r="AU362" s="13" t="s">
        <v>68</v>
      </c>
      <c r="AV362" s="13" t="s">
        <v>33</v>
      </c>
      <c r="AW362" s="14" t="s">
        <v>69</v>
      </c>
      <c r="AX362" s="13" t="s">
        <v>72</v>
      </c>
      <c r="AY362" s="13" t="s">
        <v>80</v>
      </c>
      <c r="AZ362" s="62" t="s">
        <v>81</v>
      </c>
      <c r="BA362" s="65" t="s">
        <v>77</v>
      </c>
      <c r="BB362" s="63" t="s">
        <v>70</v>
      </c>
      <c r="BC362" s="13" t="s">
        <v>92</v>
      </c>
      <c r="BD362" s="13" t="s">
        <v>44</v>
      </c>
      <c r="BE362" s="13" t="s">
        <v>78</v>
      </c>
      <c r="BF362" s="13" t="s">
        <v>68</v>
      </c>
      <c r="BG362" s="13" t="s">
        <v>33</v>
      </c>
      <c r="BH362" s="14" t="s">
        <v>69</v>
      </c>
      <c r="BI362" s="13" t="s">
        <v>159</v>
      </c>
      <c r="BJ362" s="12"/>
      <c r="BK362" s="227"/>
      <c r="BL362" s="349"/>
      <c r="BM362" s="227"/>
      <c r="BN362" s="285"/>
      <c r="BO362" s="15"/>
    </row>
    <row r="363" spans="1:67" x14ac:dyDescent="0.25">
      <c r="A363" s="145"/>
      <c r="B363" s="12"/>
      <c r="C363" s="115"/>
      <c r="D363" s="12"/>
      <c r="E363" s="118">
        <f>BL361</f>
        <v>0</v>
      </c>
      <c r="F363" s="19">
        <f>IF($D$4=2022,1,0)</f>
        <v>0</v>
      </c>
      <c r="G363" s="178">
        <f>IF($B407="Yes",$C$5,$I406)</f>
        <v>12</v>
      </c>
      <c r="H363" s="36">
        <f>VLOOKUP(H405,'Lookup Tables'!$A$22:$B$33,2,FALSE)</f>
        <v>3</v>
      </c>
      <c r="I363" s="192">
        <f>VLOOKUP($E$4,'Lookup Tables'!$AB$46:$AN$58,MATCH($H363,'Lookup Tables'!$AB$46:$AN$46),FALSE)</f>
        <v>12</v>
      </c>
      <c r="J363" s="586">
        <f>VLOOKUP(H363,'Lookup Tables'!$A$3:$AA$16,MATCH(PersonCalcYr3!$G363,'Lookup Tables'!$A$3:$AA$3),FALSE)</f>
        <v>1.5161</v>
      </c>
      <c r="K363" s="54">
        <f>VLOOKUP($H405,'Lookup Tables'!$K$23:$L$34,2,FALSE)</f>
        <v>0</v>
      </c>
      <c r="L363" s="12">
        <f>IF(G363&lt;=K363,G363,K363)</f>
        <v>0</v>
      </c>
      <c r="M363" s="195">
        <f>IF(12-I363&gt;=1,1,0)</f>
        <v>0</v>
      </c>
      <c r="N363" s="15">
        <f>(('Rate Tables'!B85*PersonCalcYr3!E363)*PersonCalcYr3!L363)*PersonCalcYr3!F363*M363</f>
        <v>0</v>
      </c>
      <c r="O363" s="28">
        <f>G363-((J363+L363)*M363)</f>
        <v>12</v>
      </c>
      <c r="P363" s="8">
        <f>IF(O363&lt;0,O363*0,1)*O363</f>
        <v>12</v>
      </c>
      <c r="Q363" s="120">
        <f>VLOOKUP($H405,'Lookup Tables'!$A$22:$B$33,2,FALSE)+(L363*M363)+(J363*M363)</f>
        <v>3</v>
      </c>
      <c r="R363" s="121" t="str">
        <f>VLOOKUP(Q363,'Lookup Tables'!$A$38:$B$151,2,FALSE)</f>
        <v>Sept</v>
      </c>
      <c r="S363" s="36">
        <f>VLOOKUP(R363,'Lookup Tables'!$A$22:$B$33,2,FALSE)</f>
        <v>3</v>
      </c>
      <c r="T363" s="599">
        <f>VLOOKUP($E$4,'Lookup Tables'!$AB$63:$AN$75,MATCH(PersonCalcYr3!$S363,'Lookup Tables'!$AB$63:$AN$63),FALSE)</f>
        <v>0.5161</v>
      </c>
      <c r="U363" s="34">
        <f>VLOOKUP(S363,'Lookup Tables'!$A$3:$AA$16,MATCH(PersonCalcYr3!$P363,'Lookup Tables'!$A$3:$AA$3),FALSE)</f>
        <v>1.5161</v>
      </c>
      <c r="V363" s="12">
        <f>9-T363</f>
        <v>8.4839000000000002</v>
      </c>
      <c r="W363" s="122">
        <f>P363-U363</f>
        <v>10.4839</v>
      </c>
      <c r="X363" s="119">
        <f>IF(V363&lt;=W363,V363,W363)</f>
        <v>8.4839000000000002</v>
      </c>
      <c r="Y363" s="195">
        <f>IF(12-T363-U363-X363&gt;=0,1,0)</f>
        <v>1</v>
      </c>
      <c r="Z363" s="20">
        <f>((('Rate Tables'!C85*$E363)*PersonCalcYr3!$X363)*$F363)*Y363</f>
        <v>0</v>
      </c>
      <c r="AA363" s="197">
        <f>O363-(((U363*U371)+X363)*Y363)</f>
        <v>2</v>
      </c>
      <c r="AB363" s="8">
        <f>IF(AA363&lt;0,AA363*0,1)*AA363</f>
        <v>2</v>
      </c>
      <c r="AC363" s="601">
        <f>S363+(X363*Y363)+((U363*U371)*Y363)</f>
        <v>13</v>
      </c>
      <c r="AD363" s="121" t="str">
        <f>VLOOKUP(AC363,'Lookup Tables'!$A$38:$B$151,2,FALSE)</f>
        <v>July</v>
      </c>
      <c r="AE363" s="36">
        <f>VLOOKUP(AD363,'Lookup Tables'!$A$22:$B$33,2,FALSE)</f>
        <v>1</v>
      </c>
      <c r="AF363" s="34">
        <f>VLOOKUP(AE363,'Lookup Tables'!$A$3:$AA$16,MATCH(PersonCalcYr3!AB363,'Lookup Tables'!$A$3:$AA$3),FALSE)</f>
        <v>1.4839</v>
      </c>
      <c r="AG363" s="12">
        <v>9</v>
      </c>
      <c r="AH363" s="122">
        <f>AB363-AF363</f>
        <v>0.5161</v>
      </c>
      <c r="AI363" s="119">
        <f>IF(AG363&lt;=AH363,AG363,AH363)</f>
        <v>0.5161</v>
      </c>
      <c r="AJ363" s="119">
        <f>IF((AG363+AF363)&lt;=0,0,1)</f>
        <v>1</v>
      </c>
      <c r="AK363" s="124">
        <f>((('Rate Tables'!D85*$E363)*PersonCalcYr3!AI363)*$F363)*AJ363</f>
        <v>0</v>
      </c>
      <c r="AL363" s="28">
        <f>AB363-AF363-AI363</f>
        <v>0</v>
      </c>
      <c r="AM363" s="8">
        <f>IF(AL363&lt;0,AL363*0,1)*AL363</f>
        <v>0</v>
      </c>
      <c r="AN363" s="601">
        <f>AE363+(AI363*AJ363)+((AF363*AF371)*AJ363)</f>
        <v>3</v>
      </c>
      <c r="AO363" s="121" t="str">
        <f>VLOOKUP(AN363,'Lookup Tables'!$A$38:$B$151,2,FALSE)</f>
        <v>Sept</v>
      </c>
      <c r="AP363" s="36">
        <f>VLOOKUP(AO363,'Lookup Tables'!$A$22:$B$33,2,FALSE)</f>
        <v>3</v>
      </c>
      <c r="AQ363" s="34">
        <f>VLOOKUP(AP363,'Lookup Tables'!$A$3:$AA$16,MATCH(PersonCalcYr3!AM363,'Lookup Tables'!$A$3:$AA$3),FALSE)</f>
        <v>0</v>
      </c>
      <c r="AR363" s="12">
        <v>9</v>
      </c>
      <c r="AS363" s="122">
        <f>AM363-AQ363</f>
        <v>0</v>
      </c>
      <c r="AT363" s="119">
        <f>IF(AR363&lt;=AS363,AR363,AS363)</f>
        <v>0</v>
      </c>
      <c r="AU363" s="119">
        <f>IF((AR363+AQ363)&lt;=0,0,1)</f>
        <v>1</v>
      </c>
      <c r="AV363" s="124">
        <f>((('Rate Tables'!E85*$E363)*PersonCalcYr3!AT363)*$F363)*AU363</f>
        <v>0</v>
      </c>
      <c r="AW363" s="28">
        <f>AM363-AQ363-AT363</f>
        <v>0</v>
      </c>
      <c r="AX363" s="8">
        <f>IF(AW363&lt;0,AW363*0,1)*AW363</f>
        <v>0</v>
      </c>
      <c r="AY363" s="601">
        <f>AP363+(AT363*AU363)+((AQ363*AQ371)*AU363)</f>
        <v>3</v>
      </c>
      <c r="AZ363" s="121" t="str">
        <f>VLOOKUP(AY363,'Lookup Tables'!$A$38:$B$151,2,FALSE)</f>
        <v>Sept</v>
      </c>
      <c r="BA363" s="36">
        <f>VLOOKUP(AZ363,'Lookup Tables'!$A$22:$B$33,2,FALSE)</f>
        <v>3</v>
      </c>
      <c r="BB363" s="34">
        <f>VLOOKUP(BA363,'Lookup Tables'!$A$3:$AA$16,MATCH(PersonCalcYr3!AX363,'Lookup Tables'!$A$3:$AA$3),FALSE)</f>
        <v>0</v>
      </c>
      <c r="BC363" s="12">
        <v>9</v>
      </c>
      <c r="BD363" s="122">
        <f>AX363-BB363</f>
        <v>0</v>
      </c>
      <c r="BE363" s="119">
        <f>IF(BC363&lt;=BD363,BC363,BD363)</f>
        <v>0</v>
      </c>
      <c r="BF363" s="119">
        <f>IF((BC363+BB363)&lt;=0,0,1)</f>
        <v>1</v>
      </c>
      <c r="BG363" s="124">
        <f>((('Rate Tables'!F85*$E363)*PersonCalcYr3!BE363)*$F363)*BF363</f>
        <v>0</v>
      </c>
      <c r="BH363" s="28">
        <f>AX363-BB363-BE363</f>
        <v>0</v>
      </c>
      <c r="BI363" s="19">
        <f>VLOOKUP(B359,'Lookup Tables'!$AK$22:$AM$24,2,0)</f>
        <v>0</v>
      </c>
      <c r="BJ363" s="12"/>
      <c r="BK363" s="227"/>
      <c r="BL363" s="350"/>
      <c r="BM363" s="276" t="s">
        <v>184</v>
      </c>
      <c r="BN363" s="285">
        <f>BN361*'Rate Tables'!P$8</f>
        <v>0</v>
      </c>
      <c r="BO363" s="15"/>
    </row>
    <row r="364" spans="1:67" x14ac:dyDescent="0.25">
      <c r="A364" s="145"/>
      <c r="B364" s="12"/>
      <c r="C364" s="117" t="s">
        <v>597</v>
      </c>
      <c r="D364" s="12"/>
      <c r="E364" s="13" t="s">
        <v>16</v>
      </c>
      <c r="F364" s="13" t="s">
        <v>42</v>
      </c>
      <c r="G364" s="13" t="s">
        <v>41</v>
      </c>
      <c r="H364" s="65" t="s">
        <v>77</v>
      </c>
      <c r="I364" s="64" t="s">
        <v>90</v>
      </c>
      <c r="J364" s="63" t="s">
        <v>70</v>
      </c>
      <c r="K364" s="52" t="s">
        <v>109</v>
      </c>
      <c r="L364" s="13" t="s">
        <v>53</v>
      </c>
      <c r="M364" s="13" t="s">
        <v>82</v>
      </c>
      <c r="N364" s="13" t="s">
        <v>32</v>
      </c>
      <c r="O364" s="14" t="s">
        <v>69</v>
      </c>
      <c r="P364" s="13" t="s">
        <v>72</v>
      </c>
      <c r="Q364" s="65" t="s">
        <v>80</v>
      </c>
      <c r="R364" s="62" t="s">
        <v>81</v>
      </c>
      <c r="S364" s="65" t="s">
        <v>77</v>
      </c>
      <c r="T364" s="600" t="s">
        <v>83</v>
      </c>
      <c r="U364" s="63" t="s">
        <v>70</v>
      </c>
      <c r="V364" s="13" t="s">
        <v>92</v>
      </c>
      <c r="W364" s="13" t="s">
        <v>44</v>
      </c>
      <c r="X364" s="13" t="s">
        <v>78</v>
      </c>
      <c r="Y364" s="13" t="s">
        <v>68</v>
      </c>
      <c r="Z364" s="13" t="s">
        <v>33</v>
      </c>
      <c r="AA364" s="14" t="s">
        <v>69</v>
      </c>
      <c r="AB364" s="13" t="s">
        <v>72</v>
      </c>
      <c r="AC364" s="13" t="s">
        <v>80</v>
      </c>
      <c r="AD364" s="62" t="s">
        <v>81</v>
      </c>
      <c r="AE364" s="65" t="s">
        <v>77</v>
      </c>
      <c r="AF364" s="63" t="s">
        <v>70</v>
      </c>
      <c r="AG364" s="13" t="s">
        <v>94</v>
      </c>
      <c r="AH364" s="13" t="s">
        <v>45</v>
      </c>
      <c r="AI364" s="13" t="s">
        <v>79</v>
      </c>
      <c r="AJ364" s="13" t="s">
        <v>68</v>
      </c>
      <c r="AK364" s="13" t="s">
        <v>34</v>
      </c>
      <c r="AL364" s="14" t="s">
        <v>69</v>
      </c>
      <c r="AM364" s="13" t="s">
        <v>72</v>
      </c>
      <c r="AN364" s="13" t="s">
        <v>80</v>
      </c>
      <c r="AO364" s="62" t="s">
        <v>81</v>
      </c>
      <c r="AP364" s="65" t="s">
        <v>77</v>
      </c>
      <c r="AQ364" s="63" t="s">
        <v>70</v>
      </c>
      <c r="AR364" s="13" t="s">
        <v>94</v>
      </c>
      <c r="AS364" s="13" t="s">
        <v>45</v>
      </c>
      <c r="AT364" s="13" t="s">
        <v>79</v>
      </c>
      <c r="AU364" s="13" t="s">
        <v>68</v>
      </c>
      <c r="AV364" s="13" t="s">
        <v>34</v>
      </c>
      <c r="AW364" s="14" t="s">
        <v>69</v>
      </c>
      <c r="AX364" s="13" t="s">
        <v>72</v>
      </c>
      <c r="AY364" s="13" t="s">
        <v>80</v>
      </c>
      <c r="AZ364" s="62" t="s">
        <v>81</v>
      </c>
      <c r="BA364" s="65" t="s">
        <v>77</v>
      </c>
      <c r="BB364" s="63" t="s">
        <v>70</v>
      </c>
      <c r="BC364" s="13" t="s">
        <v>94</v>
      </c>
      <c r="BD364" s="13" t="s">
        <v>45</v>
      </c>
      <c r="BE364" s="13" t="s">
        <v>79</v>
      </c>
      <c r="BF364" s="13" t="s">
        <v>68</v>
      </c>
      <c r="BG364" s="13" t="s">
        <v>34</v>
      </c>
      <c r="BH364" s="14" t="s">
        <v>69</v>
      </c>
      <c r="BI364" s="13"/>
      <c r="BJ364" s="12"/>
      <c r="BK364" s="227"/>
      <c r="BL364" s="351"/>
      <c r="BM364" s="227"/>
      <c r="BN364" s="285"/>
      <c r="BO364" s="15"/>
    </row>
    <row r="365" spans="1:67" x14ac:dyDescent="0.25">
      <c r="A365" s="145"/>
      <c r="B365" s="12"/>
      <c r="C365" s="115"/>
      <c r="D365" s="12"/>
      <c r="E365" s="118">
        <f>BL361</f>
        <v>0</v>
      </c>
      <c r="F365" s="19">
        <f>IF($D$4=2023,1,0)</f>
        <v>0</v>
      </c>
      <c r="G365" s="178">
        <f>IF($B407="Yes",$C$5,$I406)</f>
        <v>12</v>
      </c>
      <c r="H365" s="36">
        <f>VLOOKUP(H405,'Lookup Tables'!$A$22:$B$33,2,FALSE)</f>
        <v>3</v>
      </c>
      <c r="I365" s="192">
        <f>VLOOKUP($E$4,'Lookup Tables'!$AB$46:$AN$58,MATCH($H365,'Lookup Tables'!$AB$46:$AN$46),FALSE)</f>
        <v>12</v>
      </c>
      <c r="J365" s="33">
        <f>VLOOKUP(H365,'Lookup Tables'!$A$3:$AA$16,MATCH(PersonCalcYr3!$G365,'Lookup Tables'!$A$3:$AA$3),FALSE)</f>
        <v>1.5161</v>
      </c>
      <c r="K365" s="54">
        <f>VLOOKUP($H405,'Lookup Tables'!$K$23:$L$34,2,FALSE)</f>
        <v>0</v>
      </c>
      <c r="L365" s="12">
        <f>IF(G365&lt;=K365,G365,K365)</f>
        <v>0</v>
      </c>
      <c r="M365" s="195">
        <f>IF(12-I365&gt;=1,1,0)</f>
        <v>0</v>
      </c>
      <c r="N365" s="15">
        <f>(('Rate Tables'!C85*PersonCalcYr3!E365)*PersonCalcYr3!L365)*PersonCalcYr3!F365*M365</f>
        <v>0</v>
      </c>
      <c r="O365" s="28">
        <f>G365-((J365+L365)*M365)</f>
        <v>12</v>
      </c>
      <c r="P365" s="8">
        <f>IF(O365&lt;0,O365*0,1)*O365</f>
        <v>12</v>
      </c>
      <c r="Q365" s="120">
        <f>VLOOKUP($H405,'Lookup Tables'!$A$22:$B$33,2,FALSE)+(L365*M365)+(J365*M365)</f>
        <v>3</v>
      </c>
      <c r="R365" s="121" t="str">
        <f>VLOOKUP(Q365,'Lookup Tables'!$A$38:$B$151,2,FALSE)</f>
        <v>Sept</v>
      </c>
      <c r="S365" s="36">
        <f>VLOOKUP(R365,'Lookup Tables'!$A$22:$B$33,2,FALSE)</f>
        <v>3</v>
      </c>
      <c r="T365" s="599">
        <f>VLOOKUP($E$4,'Lookup Tables'!$AB$63:$AN$75,MATCH(PersonCalcYr3!$S365,'Lookup Tables'!$AB$63:$AN$63),FALSE)</f>
        <v>0.5161</v>
      </c>
      <c r="U365" s="34">
        <f>VLOOKUP(S365,'Lookup Tables'!$A$3:$AA$16,MATCH(PersonCalcYr3!$P365,'Lookup Tables'!$A$3:$AA$3),FALSE)</f>
        <v>1.5161</v>
      </c>
      <c r="V365" s="12">
        <f>9-T365</f>
        <v>8.4839000000000002</v>
      </c>
      <c r="W365" s="122">
        <f>P365-U365</f>
        <v>10.4839</v>
      </c>
      <c r="X365" s="119">
        <f>IF(V365&lt;=W365,V365,W365)</f>
        <v>8.4839000000000002</v>
      </c>
      <c r="Y365" s="195">
        <f>IF(12-T365-U365-X365&gt;=0,1,0)</f>
        <v>1</v>
      </c>
      <c r="Z365" s="20">
        <f>((('Rate Tables'!D85*$E365)*PersonCalcYr3!$X365)*$F365)*Y365</f>
        <v>0</v>
      </c>
      <c r="AA365" s="197">
        <f>O365-(((U365*U371)+X365)*Y365)</f>
        <v>2</v>
      </c>
      <c r="AB365" s="8">
        <f>IF(AA365&lt;0,AA365*0,1)*AA365</f>
        <v>2</v>
      </c>
      <c r="AC365" s="601">
        <f>S365+(X365*Y365)+((U365*U371)*Y365)</f>
        <v>13</v>
      </c>
      <c r="AD365" s="121" t="str">
        <f>VLOOKUP(AC365,'Lookup Tables'!$A$38:$B$151,2,FALSE)</f>
        <v>July</v>
      </c>
      <c r="AE365" s="36">
        <f>VLOOKUP(AD365,'Lookup Tables'!$A$22:$B$33,2,FALSE)</f>
        <v>1</v>
      </c>
      <c r="AF365" s="34">
        <f>VLOOKUP(AE365,'Lookup Tables'!$A$3:$AA$16,MATCH(PersonCalcYr3!AB365,'Lookup Tables'!$A$3:$AA$3),FALSE)</f>
        <v>1.4839</v>
      </c>
      <c r="AG365" s="12">
        <v>9</v>
      </c>
      <c r="AH365" s="122">
        <f>AB365-AF365</f>
        <v>0.5161</v>
      </c>
      <c r="AI365" s="119">
        <f>IF(AG365&lt;=AH365,AG365,AH365)</f>
        <v>0.5161</v>
      </c>
      <c r="AJ365" s="119">
        <f>IF((AG365+AF365)&lt;=0,0,1)</f>
        <v>1</v>
      </c>
      <c r="AK365" s="124">
        <f>((('Rate Tables'!E85*$E365)*PersonCalcYr3!AI365)*$F365)*AJ365</f>
        <v>0</v>
      </c>
      <c r="AL365" s="28">
        <f>AB365-AF365-AI365</f>
        <v>0</v>
      </c>
      <c r="AM365" s="8">
        <f>IF(AL365&lt;0,AL365*0,1)*AL365</f>
        <v>0</v>
      </c>
      <c r="AN365" s="601">
        <f>AE365+(AI365*AJ365)+((AF365*AF371)*AJ365)</f>
        <v>3</v>
      </c>
      <c r="AO365" s="121" t="str">
        <f>VLOOKUP(AN365,'Lookup Tables'!$A$38:$B$151,2,FALSE)</f>
        <v>Sept</v>
      </c>
      <c r="AP365" s="36">
        <f>VLOOKUP(AO365,'Lookup Tables'!$A$22:$B$33,2,FALSE)</f>
        <v>3</v>
      </c>
      <c r="AQ365" s="34">
        <f>VLOOKUP(AP365,'Lookup Tables'!$A$3:$AA$16,MATCH(PersonCalcYr3!AM365,'Lookup Tables'!$A$3:$AA$3),FALSE)</f>
        <v>0</v>
      </c>
      <c r="AR365" s="12">
        <v>9</v>
      </c>
      <c r="AS365" s="122">
        <f>AM365-AQ365</f>
        <v>0</v>
      </c>
      <c r="AT365" s="119">
        <f>IF(AR365&lt;=AS365,AR365,AS365)</f>
        <v>0</v>
      </c>
      <c r="AU365" s="119">
        <f>IF((AR365+AQ365)&lt;=0,0,1)</f>
        <v>1</v>
      </c>
      <c r="AV365" s="124">
        <f>((('Rate Tables'!F85*$E365)*PersonCalcYr3!AT365)*$F365)*AU365</f>
        <v>0</v>
      </c>
      <c r="AW365" s="28">
        <f>AM365-AQ365-AT365</f>
        <v>0</v>
      </c>
      <c r="AX365" s="8">
        <f>IF(AW365&lt;0,AW365*0,1)*AW365</f>
        <v>0</v>
      </c>
      <c r="AY365" s="601">
        <f>AP365+(AT365*AU365)+((AQ365*AQ371)*AU365)</f>
        <v>3</v>
      </c>
      <c r="AZ365" s="121" t="str">
        <f>VLOOKUP(AY365,'Lookup Tables'!$A$38:$B$151,2,FALSE)</f>
        <v>Sept</v>
      </c>
      <c r="BA365" s="36">
        <f>VLOOKUP(AZ365,'Lookup Tables'!$A$22:$B$33,2,FALSE)</f>
        <v>3</v>
      </c>
      <c r="BB365" s="34">
        <f>VLOOKUP(BA365,'Lookup Tables'!$A$3:$AA$16,MATCH(PersonCalcYr3!AX365,'Lookup Tables'!$A$3:$AA$3),FALSE)</f>
        <v>0</v>
      </c>
      <c r="BC365" s="12">
        <v>9</v>
      </c>
      <c r="BD365" s="122">
        <f>AX365-BB365</f>
        <v>0</v>
      </c>
      <c r="BE365" s="119">
        <f>IF(BC365&lt;=BD365,BC365,BD365)</f>
        <v>0</v>
      </c>
      <c r="BF365" s="119">
        <f>IF((BC365+BB365)&lt;=0,0,1)</f>
        <v>1</v>
      </c>
      <c r="BG365" s="124">
        <f>((('Rate Tables'!G85*$E365)*PersonCalcYr3!BE365)*$F365)*BF365</f>
        <v>0</v>
      </c>
      <c r="BH365" s="28">
        <f>AX365-BB365-BE365</f>
        <v>0</v>
      </c>
      <c r="BI365" s="19"/>
      <c r="BJ365" s="12"/>
      <c r="BK365" s="1199" t="s">
        <v>580</v>
      </c>
      <c r="BL365" s="349"/>
      <c r="BM365" s="276" t="s">
        <v>134</v>
      </c>
      <c r="BN365" s="285">
        <f>(((O371+O372+O373+O374+AA371+AA372+AA373+AA374+AL371+AL372+AL373+AL374+AW371+AW372+AW373+AW374+BH371+BH372+BH373+BH374)*BI371)*BN370)*BL372</f>
        <v>0</v>
      </c>
      <c r="BO365" s="15"/>
    </row>
    <row r="366" spans="1:67" x14ac:dyDescent="0.25">
      <c r="A366" s="145"/>
      <c r="B366" s="12"/>
      <c r="C366" s="117" t="s">
        <v>664</v>
      </c>
      <c r="D366" s="12"/>
      <c r="E366" s="13" t="s">
        <v>16</v>
      </c>
      <c r="F366" s="13" t="s">
        <v>42</v>
      </c>
      <c r="G366" s="13" t="s">
        <v>41</v>
      </c>
      <c r="H366" s="65" t="s">
        <v>77</v>
      </c>
      <c r="I366" s="64" t="s">
        <v>90</v>
      </c>
      <c r="J366" s="63" t="s">
        <v>70</v>
      </c>
      <c r="K366" s="52" t="s">
        <v>109</v>
      </c>
      <c r="L366" s="13" t="s">
        <v>53</v>
      </c>
      <c r="M366" s="13" t="s">
        <v>82</v>
      </c>
      <c r="N366" s="13" t="s">
        <v>32</v>
      </c>
      <c r="O366" s="14" t="s">
        <v>69</v>
      </c>
      <c r="P366" s="13" t="s">
        <v>72</v>
      </c>
      <c r="Q366" s="65" t="s">
        <v>80</v>
      </c>
      <c r="R366" s="62" t="s">
        <v>81</v>
      </c>
      <c r="S366" s="65" t="s">
        <v>77</v>
      </c>
      <c r="T366" s="600" t="s">
        <v>83</v>
      </c>
      <c r="U366" s="63" t="s">
        <v>70</v>
      </c>
      <c r="V366" s="13" t="s">
        <v>92</v>
      </c>
      <c r="W366" s="13" t="s">
        <v>44</v>
      </c>
      <c r="X366" s="13" t="s">
        <v>78</v>
      </c>
      <c r="Y366" s="13" t="s">
        <v>68</v>
      </c>
      <c r="Z366" s="13" t="s">
        <v>33</v>
      </c>
      <c r="AA366" s="14" t="s">
        <v>69</v>
      </c>
      <c r="AB366" s="13" t="s">
        <v>72</v>
      </c>
      <c r="AC366" s="13" t="s">
        <v>80</v>
      </c>
      <c r="AD366" s="62" t="s">
        <v>81</v>
      </c>
      <c r="AE366" s="65" t="s">
        <v>77</v>
      </c>
      <c r="AF366" s="63" t="s">
        <v>70</v>
      </c>
      <c r="AG366" s="13" t="s">
        <v>94</v>
      </c>
      <c r="AH366" s="13" t="s">
        <v>45</v>
      </c>
      <c r="AI366" s="13" t="s">
        <v>79</v>
      </c>
      <c r="AJ366" s="13" t="s">
        <v>68</v>
      </c>
      <c r="AK366" s="13" t="s">
        <v>34</v>
      </c>
      <c r="AL366" s="14" t="s">
        <v>69</v>
      </c>
      <c r="AM366" s="13" t="s">
        <v>72</v>
      </c>
      <c r="AN366" s="13" t="s">
        <v>80</v>
      </c>
      <c r="AO366" s="62" t="s">
        <v>81</v>
      </c>
      <c r="AP366" s="65" t="s">
        <v>77</v>
      </c>
      <c r="AQ366" s="63" t="s">
        <v>70</v>
      </c>
      <c r="AR366" s="13" t="s">
        <v>94</v>
      </c>
      <c r="AS366" s="13" t="s">
        <v>45</v>
      </c>
      <c r="AT366" s="13" t="s">
        <v>79</v>
      </c>
      <c r="AU366" s="13" t="s">
        <v>68</v>
      </c>
      <c r="AV366" s="13" t="s">
        <v>34</v>
      </c>
      <c r="AW366" s="14" t="s">
        <v>69</v>
      </c>
      <c r="AX366" s="13" t="s">
        <v>72</v>
      </c>
      <c r="AY366" s="13" t="s">
        <v>80</v>
      </c>
      <c r="AZ366" s="62" t="s">
        <v>81</v>
      </c>
      <c r="BA366" s="65" t="s">
        <v>77</v>
      </c>
      <c r="BB366" s="63" t="s">
        <v>70</v>
      </c>
      <c r="BC366" s="13" t="s">
        <v>94</v>
      </c>
      <c r="BD366" s="13" t="s">
        <v>45</v>
      </c>
      <c r="BE366" s="13" t="s">
        <v>79</v>
      </c>
      <c r="BF366" s="13" t="s">
        <v>68</v>
      </c>
      <c r="BG366" s="13" t="s">
        <v>34</v>
      </c>
      <c r="BH366" s="14" t="s">
        <v>69</v>
      </c>
      <c r="BI366" s="19"/>
      <c r="BJ366" s="12"/>
      <c r="BK366" s="1199"/>
      <c r="BL366" s="349"/>
      <c r="BM366" s="276"/>
      <c r="BN366" s="285"/>
      <c r="BO366" s="15"/>
    </row>
    <row r="367" spans="1:67" x14ac:dyDescent="0.25">
      <c r="A367" s="145"/>
      <c r="B367" s="12"/>
      <c r="C367" s="115"/>
      <c r="D367" s="12"/>
      <c r="E367" s="118">
        <f>BL361</f>
        <v>0</v>
      </c>
      <c r="F367" s="19">
        <f>IF($D$4=2024,1,0)</f>
        <v>1</v>
      </c>
      <c r="G367" s="178">
        <f>IF($B407="Yes",$C$5,$I406)</f>
        <v>12</v>
      </c>
      <c r="H367" s="36">
        <f>VLOOKUP(H405,'Lookup Tables'!$A$22:$B$33,2,FALSE)</f>
        <v>3</v>
      </c>
      <c r="I367" s="192">
        <f>VLOOKUP($E$4,'Lookup Tables'!$AB$46:$AN$58,MATCH($H367,'Lookup Tables'!$AB$46:$AN$46),FALSE)</f>
        <v>12</v>
      </c>
      <c r="J367" s="33">
        <f>VLOOKUP(H367,'Lookup Tables'!$A$3:$AA$16,MATCH(PersonCalcYr3!$G367,'Lookup Tables'!$A$3:$AA$3),FALSE)</f>
        <v>1.5161</v>
      </c>
      <c r="K367" s="54">
        <f>VLOOKUP($H405,'Lookup Tables'!$K$23:$L$34,2,FALSE)</f>
        <v>0</v>
      </c>
      <c r="L367" s="12">
        <f>IF(G367&lt;=K367,G367,K367)</f>
        <v>0</v>
      </c>
      <c r="M367" s="195">
        <f>IF(12-I367&gt;=1,1,0)</f>
        <v>0</v>
      </c>
      <c r="N367" s="15">
        <f>(('Rate Tables'!D85*PersonCalcYr3!E367)*PersonCalcYr3!L367)*PersonCalcYr3!F367*M367</f>
        <v>0</v>
      </c>
      <c r="O367" s="28">
        <f>G367-((J367+L367)*M367)</f>
        <v>12</v>
      </c>
      <c r="P367" s="8">
        <f>IF(O367&lt;0,O367*0,1)*O367</f>
        <v>12</v>
      </c>
      <c r="Q367" s="120">
        <f>VLOOKUP($H405,'Lookup Tables'!$A$22:$B$33,2,FALSE)+(L367*M367)+(J367*M367)</f>
        <v>3</v>
      </c>
      <c r="R367" s="121" t="str">
        <f>VLOOKUP(Q367,'Lookup Tables'!$A$38:$B$151,2,FALSE)</f>
        <v>Sept</v>
      </c>
      <c r="S367" s="36">
        <f>VLOOKUP(R367,'Lookup Tables'!$A$22:$B$33,2,FALSE)</f>
        <v>3</v>
      </c>
      <c r="T367" s="599">
        <f>VLOOKUP($E$4,'Lookup Tables'!$AB$63:$AN$75,MATCH(PersonCalcYr3!$S367,'Lookup Tables'!$AB$63:$AN$63),FALSE)</f>
        <v>0.5161</v>
      </c>
      <c r="U367" s="34">
        <f>VLOOKUP(S367,'Lookup Tables'!$A$3:$AA$16,MATCH(PersonCalcYr3!$P367,'Lookup Tables'!$A$3:$AA$3),FALSE)</f>
        <v>1.5161</v>
      </c>
      <c r="V367" s="12">
        <f>9-T367</f>
        <v>8.4839000000000002</v>
      </c>
      <c r="W367" s="122">
        <f>P367-U367</f>
        <v>10.4839</v>
      </c>
      <c r="X367" s="119">
        <f>IF(V367&lt;=W367,V367,W367)</f>
        <v>8.4839000000000002</v>
      </c>
      <c r="Y367" s="195">
        <f>IF(12-T367-U367-X367&gt;=0,1,0)</f>
        <v>1</v>
      </c>
      <c r="Z367" s="20">
        <f>((('Rate Tables'!E85*$E367)*PersonCalcYr3!$X367)*$F367)*Y367</f>
        <v>0</v>
      </c>
      <c r="AA367" s="197">
        <f>O367-(((U367*U371)+X367)*Y367)</f>
        <v>2</v>
      </c>
      <c r="AB367" s="8">
        <f>IF(AA367&lt;0,AA367*0,1)*AA367</f>
        <v>2</v>
      </c>
      <c r="AC367" s="601">
        <f>S367+(X367*Y367)+((U367*U371)*Y367)</f>
        <v>13</v>
      </c>
      <c r="AD367" s="121" t="str">
        <f>VLOOKUP(AC367,'Lookup Tables'!$A$38:$B$151,2,FALSE)</f>
        <v>July</v>
      </c>
      <c r="AE367" s="36">
        <f>VLOOKUP(AD367,'Lookup Tables'!$A$22:$B$33,2,FALSE)</f>
        <v>1</v>
      </c>
      <c r="AF367" s="34">
        <f>VLOOKUP(AE367,'Lookup Tables'!$A$3:$AA$16,MATCH(PersonCalcYr3!AB367,'Lookup Tables'!$A$3:$AA$3),FALSE)</f>
        <v>1.4839</v>
      </c>
      <c r="AG367" s="12">
        <v>9</v>
      </c>
      <c r="AH367" s="122">
        <f>AB367-AF367</f>
        <v>0.5161</v>
      </c>
      <c r="AI367" s="119">
        <f>IF(AG367&lt;=AH367,AG367,AH367)</f>
        <v>0.5161</v>
      </c>
      <c r="AJ367" s="119">
        <f>IF((AG367+AF367)&lt;=0,0,1)</f>
        <v>1</v>
      </c>
      <c r="AK367" s="124">
        <f>((('Rate Tables'!F85*$E367)*PersonCalcYr3!AI367)*$F367)*AJ367</f>
        <v>0</v>
      </c>
      <c r="AL367" s="28">
        <f>AB367-AF367-AI367</f>
        <v>0</v>
      </c>
      <c r="AM367" s="8">
        <f>IF(AL367&lt;0,AL367*0,1)*AL367</f>
        <v>0</v>
      </c>
      <c r="AN367" s="601">
        <f>AE367+(AI367*AJ367)+((AF367*AF371)*AJ367)</f>
        <v>3</v>
      </c>
      <c r="AO367" s="121" t="str">
        <f>VLOOKUP(AN367,'Lookup Tables'!$A$38:$B$151,2,FALSE)</f>
        <v>Sept</v>
      </c>
      <c r="AP367" s="36">
        <f>VLOOKUP(AO367,'Lookup Tables'!$A$22:$B$33,2,FALSE)</f>
        <v>3</v>
      </c>
      <c r="AQ367" s="34">
        <f>VLOOKUP(AP367,'Lookup Tables'!$A$3:$AA$16,MATCH(PersonCalcYr3!AM367,'Lookup Tables'!$A$3:$AA$3),FALSE)</f>
        <v>0</v>
      </c>
      <c r="AR367" s="12">
        <v>9</v>
      </c>
      <c r="AS367" s="122">
        <f>AM367-AQ367</f>
        <v>0</v>
      </c>
      <c r="AT367" s="119">
        <f>IF(AR367&lt;=AS367,AR367,AS367)</f>
        <v>0</v>
      </c>
      <c r="AU367" s="119">
        <f>IF((AR367+AQ367)&lt;=0,0,1)</f>
        <v>1</v>
      </c>
      <c r="AV367" s="124">
        <f>((('Rate Tables'!G85*$E367)*PersonCalcYr3!AT367)*$F367)*AU367</f>
        <v>0</v>
      </c>
      <c r="AW367" s="28">
        <f>AM367-AQ367-AT367</f>
        <v>0</v>
      </c>
      <c r="AX367" s="8">
        <f>IF(AW367&lt;0,AW367*0,1)*AW367</f>
        <v>0</v>
      </c>
      <c r="AY367" s="601">
        <f>AP367+(AT367*AU367)+((AQ367*AQ371)*AU367)</f>
        <v>3</v>
      </c>
      <c r="AZ367" s="121" t="str">
        <f>VLOOKUP(AY367,'Lookup Tables'!$A$38:$B$151,2,FALSE)</f>
        <v>Sept</v>
      </c>
      <c r="BA367" s="36">
        <f>VLOOKUP(AZ367,'Lookup Tables'!$A$22:$B$33,2,FALSE)</f>
        <v>3</v>
      </c>
      <c r="BB367" s="34">
        <f>VLOOKUP(BA367,'Lookup Tables'!$A$3:$AA$16,MATCH(PersonCalcYr3!AX367,'Lookup Tables'!$A$3:$AA$3),FALSE)</f>
        <v>0</v>
      </c>
      <c r="BC367" s="12">
        <v>9</v>
      </c>
      <c r="BD367" s="122">
        <f>AX367-BB367</f>
        <v>0</v>
      </c>
      <c r="BE367" s="119">
        <f>IF(BC367&lt;=BD367,BC367,BD367)</f>
        <v>0</v>
      </c>
      <c r="BF367" s="119">
        <f>IF((BC367+BB367)&lt;=0,0,1)</f>
        <v>1</v>
      </c>
      <c r="BG367" s="124">
        <f>((('Rate Tables'!H85*$E367)*PersonCalcYr3!BE367)*$F367)*BF367</f>
        <v>0</v>
      </c>
      <c r="BH367" s="28">
        <f>AX367-BB367-BE367</f>
        <v>0</v>
      </c>
      <c r="BI367" s="19"/>
      <c r="BJ367" s="12"/>
      <c r="BK367" s="1199"/>
      <c r="BL367" s="349" t="s">
        <v>643</v>
      </c>
      <c r="BM367" s="276"/>
      <c r="BN367" s="285"/>
      <c r="BO367" s="15"/>
    </row>
    <row r="368" spans="1:67" x14ac:dyDescent="0.25">
      <c r="A368" s="145"/>
      <c r="B368" s="12"/>
      <c r="C368" s="819" t="s">
        <v>732</v>
      </c>
      <c r="D368" s="12"/>
      <c r="E368" s="13" t="s">
        <v>16</v>
      </c>
      <c r="F368" s="13" t="s">
        <v>42</v>
      </c>
      <c r="G368" s="13" t="s">
        <v>41</v>
      </c>
      <c r="H368" s="65" t="s">
        <v>77</v>
      </c>
      <c r="I368" s="64" t="s">
        <v>90</v>
      </c>
      <c r="J368" s="63" t="s">
        <v>70</v>
      </c>
      <c r="K368" s="52" t="s">
        <v>109</v>
      </c>
      <c r="L368" s="13" t="s">
        <v>53</v>
      </c>
      <c r="M368" s="13" t="s">
        <v>82</v>
      </c>
      <c r="N368" s="13" t="s">
        <v>32</v>
      </c>
      <c r="O368" s="14" t="s">
        <v>69</v>
      </c>
      <c r="P368" s="13" t="s">
        <v>72</v>
      </c>
      <c r="Q368" s="65" t="s">
        <v>80</v>
      </c>
      <c r="R368" s="62" t="s">
        <v>81</v>
      </c>
      <c r="S368" s="65" t="s">
        <v>77</v>
      </c>
      <c r="T368" s="600" t="s">
        <v>83</v>
      </c>
      <c r="U368" s="63" t="s">
        <v>70</v>
      </c>
      <c r="V368" s="13" t="s">
        <v>92</v>
      </c>
      <c r="W368" s="13" t="s">
        <v>44</v>
      </c>
      <c r="X368" s="13" t="s">
        <v>78</v>
      </c>
      <c r="Y368" s="13" t="s">
        <v>68</v>
      </c>
      <c r="Z368" s="13" t="s">
        <v>33</v>
      </c>
      <c r="AA368" s="14" t="s">
        <v>69</v>
      </c>
      <c r="AB368" s="13" t="s">
        <v>72</v>
      </c>
      <c r="AC368" s="13" t="s">
        <v>80</v>
      </c>
      <c r="AD368" s="62" t="s">
        <v>81</v>
      </c>
      <c r="AE368" s="65" t="s">
        <v>77</v>
      </c>
      <c r="AF368" s="63" t="s">
        <v>70</v>
      </c>
      <c r="AG368" s="13" t="s">
        <v>94</v>
      </c>
      <c r="AH368" s="13" t="s">
        <v>45</v>
      </c>
      <c r="AI368" s="13" t="s">
        <v>79</v>
      </c>
      <c r="AJ368" s="13" t="s">
        <v>68</v>
      </c>
      <c r="AK368" s="13" t="s">
        <v>34</v>
      </c>
      <c r="AL368" s="14" t="s">
        <v>69</v>
      </c>
      <c r="AM368" s="13" t="s">
        <v>72</v>
      </c>
      <c r="AN368" s="13" t="s">
        <v>80</v>
      </c>
      <c r="AO368" s="62" t="s">
        <v>81</v>
      </c>
      <c r="AP368" s="65" t="s">
        <v>77</v>
      </c>
      <c r="AQ368" s="63" t="s">
        <v>70</v>
      </c>
      <c r="AR368" s="13" t="s">
        <v>94</v>
      </c>
      <c r="AS368" s="13" t="s">
        <v>45</v>
      </c>
      <c r="AT368" s="13" t="s">
        <v>79</v>
      </c>
      <c r="AU368" s="13" t="s">
        <v>68</v>
      </c>
      <c r="AV368" s="13" t="s">
        <v>34</v>
      </c>
      <c r="AW368" s="14" t="s">
        <v>69</v>
      </c>
      <c r="AX368" s="13" t="s">
        <v>72</v>
      </c>
      <c r="AY368" s="13" t="s">
        <v>80</v>
      </c>
      <c r="AZ368" s="62" t="s">
        <v>81</v>
      </c>
      <c r="BA368" s="65" t="s">
        <v>77</v>
      </c>
      <c r="BB368" s="63" t="s">
        <v>70</v>
      </c>
      <c r="BC368" s="13" t="s">
        <v>94</v>
      </c>
      <c r="BD368" s="13" t="s">
        <v>45</v>
      </c>
      <c r="BE368" s="13" t="s">
        <v>79</v>
      </c>
      <c r="BF368" s="13" t="s">
        <v>68</v>
      </c>
      <c r="BG368" s="13" t="s">
        <v>34</v>
      </c>
      <c r="BH368" s="14" t="s">
        <v>69</v>
      </c>
      <c r="BI368" s="19"/>
      <c r="BJ368" s="12"/>
      <c r="BK368" s="1199"/>
      <c r="BL368" s="349"/>
      <c r="BM368" s="276"/>
      <c r="BN368" s="285"/>
      <c r="BO368" s="15"/>
    </row>
    <row r="369" spans="1:67" x14ac:dyDescent="0.25">
      <c r="A369" s="145"/>
      <c r="B369" s="12"/>
      <c r="C369" s="115"/>
      <c r="D369" s="12"/>
      <c r="E369" s="118">
        <f>BL361</f>
        <v>0</v>
      </c>
      <c r="F369" s="19">
        <f>IF($D$4=2025,1,0)</f>
        <v>0</v>
      </c>
      <c r="G369" s="178">
        <f>IF($B407="Yes",$C$5,$I406)</f>
        <v>12</v>
      </c>
      <c r="H369" s="36">
        <f>VLOOKUP(H405,'Lookup Tables'!$A$22:$B$33,2,FALSE)</f>
        <v>3</v>
      </c>
      <c r="I369" s="192">
        <f>VLOOKUP($E$4,'Lookup Tables'!$AB$46:$AN$58,MATCH($H369,'Lookup Tables'!$AB$46:$AN$46),FALSE)</f>
        <v>12</v>
      </c>
      <c r="J369" s="33">
        <f>VLOOKUP(H369,'Lookup Tables'!$A$3:$AA$16,MATCH(PersonCalcYr3!$G369,'Lookup Tables'!$A$3:$AA$3),FALSE)</f>
        <v>1.5161</v>
      </c>
      <c r="K369" s="54">
        <f>VLOOKUP($H405,'Lookup Tables'!$K$23:$L$34,2,FALSE)</f>
        <v>0</v>
      </c>
      <c r="L369" s="12">
        <f>IF(G369&lt;=K369,G369,K369)</f>
        <v>0</v>
      </c>
      <c r="M369" s="195">
        <f>IF(12-I369&gt;=1,1,0)</f>
        <v>0</v>
      </c>
      <c r="N369" s="15">
        <f>(('Rate Tables'!E85*PersonCalcYr3!E369)*PersonCalcYr3!L369)*PersonCalcYr3!F369*M369</f>
        <v>0</v>
      </c>
      <c r="O369" s="28">
        <f>G369-((J369+L369)*M369)</f>
        <v>12</v>
      </c>
      <c r="P369" s="8">
        <f>IF(O369&lt;0,O369*0,1)*O369</f>
        <v>12</v>
      </c>
      <c r="Q369" s="120">
        <f>VLOOKUP($H405,'Lookup Tables'!$A$22:$B$33,2,FALSE)+(L369*M369)+(J369*M369)</f>
        <v>3</v>
      </c>
      <c r="R369" s="121" t="str">
        <f>VLOOKUP(Q369,'Lookup Tables'!$A$38:$B$151,2,FALSE)</f>
        <v>Sept</v>
      </c>
      <c r="S369" s="36">
        <f>VLOOKUP(R369,'Lookup Tables'!$A$22:$B$33,2,FALSE)</f>
        <v>3</v>
      </c>
      <c r="T369" s="599">
        <f>VLOOKUP($E$4,'Lookup Tables'!$AB$63:$AN$75,MATCH(PersonCalcYr3!$S369,'Lookup Tables'!$AB$63:$AN$63),FALSE)</f>
        <v>0.5161</v>
      </c>
      <c r="U369" s="34">
        <f>VLOOKUP(S369,'Lookup Tables'!$A$3:$AA$16,MATCH(PersonCalcYr3!$P369,'Lookup Tables'!$A$3:$AA$3),FALSE)</f>
        <v>1.5161</v>
      </c>
      <c r="V369" s="12">
        <f>9-T369</f>
        <v>8.4839000000000002</v>
      </c>
      <c r="W369" s="122">
        <f>P369-U369</f>
        <v>10.4839</v>
      </c>
      <c r="X369" s="119">
        <f>IF(V369&lt;=W369,V369,W369)</f>
        <v>8.4839000000000002</v>
      </c>
      <c r="Y369" s="195">
        <f>IF(12-T369-U369-X369&gt;=0,1,0)</f>
        <v>1</v>
      </c>
      <c r="Z369" s="20">
        <f>((('Rate Tables'!F85*$E369)*PersonCalcYr3!$X369)*$F369)*Y369</f>
        <v>0</v>
      </c>
      <c r="AA369" s="197">
        <f>O369-(((U369*U371)+X369)*Y369)</f>
        <v>2</v>
      </c>
      <c r="AB369" s="8">
        <f>IF(AA369&lt;0,AA369*0,1)*AA369</f>
        <v>2</v>
      </c>
      <c r="AC369" s="601">
        <f>S369+(X369*Y369)+((U369*U371)*Y369)</f>
        <v>13</v>
      </c>
      <c r="AD369" s="121" t="str">
        <f>VLOOKUP(AC369,'Lookup Tables'!$A$38:$B$151,2,FALSE)</f>
        <v>July</v>
      </c>
      <c r="AE369" s="36">
        <f>VLOOKUP(AD369,'Lookup Tables'!$A$22:$B$33,2,FALSE)</f>
        <v>1</v>
      </c>
      <c r="AF369" s="34">
        <f>VLOOKUP(AE369,'Lookup Tables'!$A$3:$AA$16,MATCH(PersonCalcYr3!AB369,'Lookup Tables'!$A$3:$AA$3),FALSE)</f>
        <v>1.4839</v>
      </c>
      <c r="AG369" s="12">
        <v>9</v>
      </c>
      <c r="AH369" s="122">
        <f>AB369-AF369</f>
        <v>0.5161</v>
      </c>
      <c r="AI369" s="119">
        <f>IF(AG369&lt;=AH369,AG369,AH369)</f>
        <v>0.5161</v>
      </c>
      <c r="AJ369" s="119">
        <f>IF((AG369+AF369)&lt;=0,0,1)</f>
        <v>1</v>
      </c>
      <c r="AK369" s="124">
        <f>((('Rate Tables'!G85*$E369)*PersonCalcYr3!AI369)*$F369)*AJ369</f>
        <v>0</v>
      </c>
      <c r="AL369" s="28">
        <f>AB369-AF369-AI369</f>
        <v>0</v>
      </c>
      <c r="AM369" s="8">
        <f>IF(AL369&lt;0,AL369*0,1)*AL369</f>
        <v>0</v>
      </c>
      <c r="AN369" s="601">
        <f>AE369+(AI369*AJ369)+((AF369*AF371)*AJ369)</f>
        <v>3</v>
      </c>
      <c r="AO369" s="121" t="str">
        <f>VLOOKUP(AN369,'Lookup Tables'!$A$38:$B$151,2,FALSE)</f>
        <v>Sept</v>
      </c>
      <c r="AP369" s="36">
        <f>VLOOKUP(AO369,'Lookup Tables'!$A$22:$B$33,2,FALSE)</f>
        <v>3</v>
      </c>
      <c r="AQ369" s="34">
        <f>VLOOKUP(AP369,'Lookup Tables'!$A$3:$AA$16,MATCH(PersonCalcYr3!AM369,'Lookup Tables'!$A$3:$AA$3),FALSE)</f>
        <v>0</v>
      </c>
      <c r="AR369" s="12">
        <v>9</v>
      </c>
      <c r="AS369" s="122">
        <f>AM369-AQ369</f>
        <v>0</v>
      </c>
      <c r="AT369" s="119">
        <f>IF(AR369&lt;=AS369,AR369,AS369)</f>
        <v>0</v>
      </c>
      <c r="AU369" s="119">
        <f>IF((AR369+AQ369)&lt;=0,0,1)</f>
        <v>1</v>
      </c>
      <c r="AV369" s="124">
        <f>((('Rate Tables'!H85*$E369)*PersonCalcYr3!AT369)*$F369)*AU369</f>
        <v>0</v>
      </c>
      <c r="AW369" s="28">
        <f>AM369-AQ369-AT369</f>
        <v>0</v>
      </c>
      <c r="AX369" s="8">
        <f>IF(AW369&lt;0,AW369*0,1)*AW369</f>
        <v>0</v>
      </c>
      <c r="AY369" s="601">
        <f>AP369+(AT369*AU369)+((AQ369*AQ371)*AU369)</f>
        <v>3</v>
      </c>
      <c r="AZ369" s="121" t="str">
        <f>VLOOKUP(AY369,'Lookup Tables'!$A$38:$B$151,2,FALSE)</f>
        <v>Sept</v>
      </c>
      <c r="BA369" s="36">
        <f>VLOOKUP(AZ369,'Lookup Tables'!$A$22:$B$33,2,FALSE)</f>
        <v>3</v>
      </c>
      <c r="BB369" s="34">
        <f>VLOOKUP(BA369,'Lookup Tables'!$A$3:$AA$16,MATCH(PersonCalcYr3!AX369,'Lookup Tables'!$A$3:$AA$3),FALSE)</f>
        <v>0</v>
      </c>
      <c r="BC369" s="12">
        <v>9</v>
      </c>
      <c r="BD369" s="122">
        <f>AX369-BB369</f>
        <v>0</v>
      </c>
      <c r="BE369" s="119">
        <f>IF(BC369&lt;=BD369,BC369,BD369)</f>
        <v>0</v>
      </c>
      <c r="BF369" s="119">
        <f>IF((BC369+BB369)&lt;=0,0,1)</f>
        <v>1</v>
      </c>
      <c r="BG369" s="124">
        <f>((('Rate Tables'!I85*$E369)*PersonCalcYr3!BE369)*$F369)*BF369</f>
        <v>0</v>
      </c>
      <c r="BH369" s="28">
        <f>AX369-BB369-BE369</f>
        <v>0</v>
      </c>
      <c r="BI369" s="19"/>
      <c r="BJ369" s="12"/>
      <c r="BK369" s="1199"/>
      <c r="BL369" s="349"/>
      <c r="BM369" s="276"/>
      <c r="BN369" s="285"/>
      <c r="BO369" s="15"/>
    </row>
    <row r="370" spans="1:67" x14ac:dyDescent="0.25">
      <c r="A370" s="145"/>
      <c r="B370" s="12"/>
      <c r="C370" s="115"/>
      <c r="D370" s="12"/>
      <c r="E370" s="118"/>
      <c r="F370" s="19"/>
      <c r="G370" s="12"/>
      <c r="H370" s="12"/>
      <c r="I370" s="141"/>
      <c r="J370" s="228" t="s">
        <v>183</v>
      </c>
      <c r="K370" s="13" t="s">
        <v>181</v>
      </c>
      <c r="L370" s="13" t="s">
        <v>179</v>
      </c>
      <c r="M370" s="13" t="s">
        <v>180</v>
      </c>
      <c r="N370" s="660" t="s">
        <v>128</v>
      </c>
      <c r="O370" s="135" t="s">
        <v>130</v>
      </c>
      <c r="P370" s="8"/>
      <c r="Q370" s="123"/>
      <c r="R370" s="12"/>
      <c r="S370" s="12"/>
      <c r="T370" s="12"/>
      <c r="U370" s="12"/>
      <c r="V370" s="228" t="s">
        <v>183</v>
      </c>
      <c r="W370" s="13" t="s">
        <v>181</v>
      </c>
      <c r="X370" s="13" t="s">
        <v>179</v>
      </c>
      <c r="Y370" s="13" t="s">
        <v>180</v>
      </c>
      <c r="Z370" s="608" t="s">
        <v>128</v>
      </c>
      <c r="AA370" s="135" t="s">
        <v>130</v>
      </c>
      <c r="AB370" s="8"/>
      <c r="AC370" s="123"/>
      <c r="AD370" s="12"/>
      <c r="AE370" s="12"/>
      <c r="AF370" s="12"/>
      <c r="AG370" s="228" t="s">
        <v>183</v>
      </c>
      <c r="AH370" s="13" t="s">
        <v>181</v>
      </c>
      <c r="AI370" s="13" t="s">
        <v>179</v>
      </c>
      <c r="AJ370" s="13" t="s">
        <v>180</v>
      </c>
      <c r="AK370" s="660" t="s">
        <v>128</v>
      </c>
      <c r="AL370" s="135" t="s">
        <v>130</v>
      </c>
      <c r="AM370" s="11"/>
      <c r="AN370" s="13"/>
      <c r="AO370" s="13"/>
      <c r="AP370" s="13"/>
      <c r="AQ370" s="13"/>
      <c r="AR370" s="228" t="s">
        <v>183</v>
      </c>
      <c r="AS370" s="13" t="s">
        <v>181</v>
      </c>
      <c r="AT370" s="13" t="s">
        <v>179</v>
      </c>
      <c r="AU370" s="13" t="s">
        <v>180</v>
      </c>
      <c r="AV370" s="660" t="s">
        <v>128</v>
      </c>
      <c r="AW370" s="135" t="s">
        <v>130</v>
      </c>
      <c r="AX370" s="153"/>
      <c r="AY370" s="153"/>
      <c r="AZ370" s="153"/>
      <c r="BA370" s="153"/>
      <c r="BB370" s="153"/>
      <c r="BC370" s="228" t="s">
        <v>183</v>
      </c>
      <c r="BD370" s="13" t="s">
        <v>181</v>
      </c>
      <c r="BE370" s="13" t="s">
        <v>179</v>
      </c>
      <c r="BF370" s="13" t="s">
        <v>180</v>
      </c>
      <c r="BG370" s="660" t="s">
        <v>128</v>
      </c>
      <c r="BH370" s="135" t="s">
        <v>130</v>
      </c>
      <c r="BI370" s="13" t="s">
        <v>159</v>
      </c>
      <c r="BJ370" s="12"/>
      <c r="BK370" s="1199"/>
      <c r="BL370" s="350" t="s">
        <v>644</v>
      </c>
      <c r="BM370" s="227" t="s">
        <v>582</v>
      </c>
      <c r="BN370" s="663">
        <f>IF(BN361&gt;0,1,0)</f>
        <v>0</v>
      </c>
      <c r="BO370" s="15"/>
    </row>
    <row r="371" spans="1:67" x14ac:dyDescent="0.25">
      <c r="A371" s="145"/>
      <c r="B371" s="227"/>
      <c r="C371" s="115"/>
      <c r="D371" s="12"/>
      <c r="E371" s="118"/>
      <c r="F371" s="19"/>
      <c r="G371" s="12"/>
      <c r="H371" s="12"/>
      <c r="I371" s="141"/>
      <c r="J371" s="141">
        <f>IF($BK380&gt;0,1,0)</f>
        <v>0</v>
      </c>
      <c r="K371" s="12">
        <f>IF($BK380=0,1,0)</f>
        <v>1</v>
      </c>
      <c r="L371" s="129">
        <f>'Rate Tables'!$P$17</f>
        <v>910</v>
      </c>
      <c r="M371" s="129">
        <f>'Rate Tables'!$Q$17</f>
        <v>933.34</v>
      </c>
      <c r="N371" s="661">
        <f>ROUNDUP(N375,0)</f>
        <v>0</v>
      </c>
      <c r="O371" s="136">
        <f>((J371*L371)+(K371*M371))*N371</f>
        <v>0</v>
      </c>
      <c r="P371" s="8"/>
      <c r="Q371" s="123"/>
      <c r="R371" s="12"/>
      <c r="S371" s="12"/>
      <c r="T371" s="605" t="s">
        <v>573</v>
      </c>
      <c r="U371" s="606">
        <f>VLOOKUP($E$4,'Lookup Tables'!$L$79:$X$91,MATCH(PersonCalcYr3!$S363,'Lookup Tables'!$L$79:$X$79),FALSE)</f>
        <v>1</v>
      </c>
      <c r="V371" s="141">
        <f>IF($BK380&gt;0,1,0)</f>
        <v>0</v>
      </c>
      <c r="W371" s="12">
        <f>IF($BK380=0,1,0)</f>
        <v>1</v>
      </c>
      <c r="X371" s="129">
        <f>'Rate Tables'!$P$18</f>
        <v>910</v>
      </c>
      <c r="Y371" s="129">
        <f>'Rate Tables'!$Q$18</f>
        <v>933.34</v>
      </c>
      <c r="Z371" s="661">
        <f>IF(Y377&lt;=AA376,Y377,AA376)</f>
        <v>0</v>
      </c>
      <c r="AA371" s="136">
        <f>((V371*X371)+(W371*Y371))*Z371</f>
        <v>0</v>
      </c>
      <c r="AB371" s="8"/>
      <c r="AC371" s="123"/>
      <c r="AD371" s="12"/>
      <c r="AE371" s="605" t="s">
        <v>573</v>
      </c>
      <c r="AF371" s="606">
        <v>1</v>
      </c>
      <c r="AG371" s="141">
        <f>IF($BK380&gt;0,1,0)</f>
        <v>0</v>
      </c>
      <c r="AH371" s="12">
        <f>IF($BK380=0,1,0)</f>
        <v>1</v>
      </c>
      <c r="AI371" s="129">
        <f>'Rate Tables'!$P$19</f>
        <v>910</v>
      </c>
      <c r="AJ371" s="129">
        <f>'Rate Tables'!$Q$19</f>
        <v>933.34</v>
      </c>
      <c r="AK371" s="661">
        <f>IF(AJ377&lt;=AL375,AJ377,AL375)</f>
        <v>0</v>
      </c>
      <c r="AL371" s="136">
        <f>((AG371*AI371)+(AH371*AJ371))*AK371</f>
        <v>0</v>
      </c>
      <c r="AM371" s="11"/>
      <c r="AN371" s="19"/>
      <c r="AO371" s="19"/>
      <c r="AP371" s="605" t="s">
        <v>573</v>
      </c>
      <c r="AQ371" s="606">
        <v>1</v>
      </c>
      <c r="AR371" s="141">
        <f>IF($BK380&gt;0,1,0)</f>
        <v>0</v>
      </c>
      <c r="AS371" s="12">
        <f>IF($BK380=0,1,0)</f>
        <v>1</v>
      </c>
      <c r="AT371" s="129">
        <f>'Rate Tables'!$P$20</f>
        <v>928.2</v>
      </c>
      <c r="AU371" s="129">
        <f>'Rate Tables'!$Q$20</f>
        <v>952</v>
      </c>
      <c r="AV371" s="661">
        <f>IF(AU376&lt;=AW375,AU376,AW375)</f>
        <v>0</v>
      </c>
      <c r="AW371" s="136">
        <f>((AR371*AT371)+(AS371*AU371))*AV371</f>
        <v>0</v>
      </c>
      <c r="AX371" s="125"/>
      <c r="AY371" s="125"/>
      <c r="AZ371" s="125"/>
      <c r="BA371" s="125"/>
      <c r="BB371" s="125"/>
      <c r="BC371" s="141">
        <f>IF($BK380&gt;0,1,0)</f>
        <v>0</v>
      </c>
      <c r="BD371" s="12">
        <f>IF($BK380=0,1,0)</f>
        <v>1</v>
      </c>
      <c r="BE371" s="129">
        <f>'Rate Tables'!$P$21</f>
        <v>946.76</v>
      </c>
      <c r="BF371" s="129">
        <f>'Rate Tables'!$Q$21</f>
        <v>971.04</v>
      </c>
      <c r="BG371" s="661">
        <f>IF(BF376&lt;=BH375,BF376,BH375)</f>
        <v>0</v>
      </c>
      <c r="BH371" s="136">
        <f>((BC371*BE371)+(BD371*BF371))*BG371</f>
        <v>0</v>
      </c>
      <c r="BI371" s="19">
        <f>VLOOKUP(B359,'Lookup Tables'!$AK$22:$AM$24,2,0)</f>
        <v>0</v>
      </c>
      <c r="BJ371" s="12"/>
      <c r="BK371" s="307">
        <f>N375+N376+N377+N378+Z376+Z377+Z378+Z379+AK375+AK376+AK377+AK378+AV375++BG375+BG376+BG377+BG378+AV376+AV377+AV378</f>
        <v>9</v>
      </c>
      <c r="BL371" s="358" t="str">
        <f>IF(BL361=50%,"no",Personnel!W94)</f>
        <v>No</v>
      </c>
      <c r="BM371" s="12"/>
      <c r="BN371" s="285"/>
      <c r="BO371" s="15"/>
    </row>
    <row r="372" spans="1:67" x14ac:dyDescent="0.25">
      <c r="A372" s="145"/>
      <c r="B372" s="12"/>
      <c r="C372" s="115"/>
      <c r="D372" s="12"/>
      <c r="E372" s="126"/>
      <c r="F372" s="19"/>
      <c r="G372" s="12"/>
      <c r="H372" s="12"/>
      <c r="I372" s="12"/>
      <c r="J372" s="141">
        <f>IF($BK380&gt;0,1,0)</f>
        <v>0</v>
      </c>
      <c r="K372" s="12">
        <f>IF($BK380=0,1,0)</f>
        <v>1</v>
      </c>
      <c r="L372" s="129">
        <f>'Rate Tables'!$P$18</f>
        <v>910</v>
      </c>
      <c r="M372" s="129">
        <f>'Rate Tables'!$Q$18</f>
        <v>933.34</v>
      </c>
      <c r="N372" s="661">
        <f>ROUNDUP(N376,0)</f>
        <v>0</v>
      </c>
      <c r="O372" s="136">
        <f>((J372*L372)+(K372*M372))*N372</f>
        <v>0</v>
      </c>
      <c r="P372" s="19"/>
      <c r="Q372" s="19"/>
      <c r="R372" s="19"/>
      <c r="S372" s="19"/>
      <c r="T372" s="19"/>
      <c r="U372" s="12"/>
      <c r="V372" s="141">
        <f>IF($BK380&gt;0,1,0)</f>
        <v>0</v>
      </c>
      <c r="W372" s="12">
        <f>IF($BK380=0,1,0)</f>
        <v>1</v>
      </c>
      <c r="X372" s="129">
        <f>'Rate Tables'!$P$19</f>
        <v>910</v>
      </c>
      <c r="Y372" s="129">
        <f>'Rate Tables'!$Q$19</f>
        <v>933.34</v>
      </c>
      <c r="Z372" s="661">
        <f>IF(Y377&lt;=AA377,Y377,AA377)</f>
        <v>0</v>
      </c>
      <c r="AA372" s="136">
        <f>((V372*X372)+(W372*Y372))*Z372</f>
        <v>0</v>
      </c>
      <c r="AB372" s="20"/>
      <c r="AC372" s="20"/>
      <c r="AD372" s="20"/>
      <c r="AE372" s="20"/>
      <c r="AF372" s="123"/>
      <c r="AG372" s="141">
        <f>IF($BK380&gt;0,1,0)</f>
        <v>0</v>
      </c>
      <c r="AH372" s="12">
        <f>IF($BK380=0,1,0)</f>
        <v>1</v>
      </c>
      <c r="AI372" s="129">
        <f>'Rate Tables'!$P$20</f>
        <v>928.2</v>
      </c>
      <c r="AJ372" s="129">
        <f>'Rate Tables'!$Q$20</f>
        <v>952</v>
      </c>
      <c r="AK372" s="661">
        <f>IF(AJ377&lt;=AL376,AJ377,AL376)</f>
        <v>0</v>
      </c>
      <c r="AL372" s="136">
        <f>((AG372*AI372)+(AH372*AJ372))*AK372</f>
        <v>0</v>
      </c>
      <c r="AM372" s="11"/>
      <c r="AN372" s="19"/>
      <c r="AO372" s="19"/>
      <c r="AP372" s="19"/>
      <c r="AQ372" s="19"/>
      <c r="AR372" s="141">
        <f>IF($BK380&gt;0,1,0)</f>
        <v>0</v>
      </c>
      <c r="AS372" s="12">
        <f>IF($BK380=0,1,0)</f>
        <v>1</v>
      </c>
      <c r="AT372" s="129">
        <f>'Rate Tables'!$P$21</f>
        <v>946.76</v>
      </c>
      <c r="AU372" s="129">
        <f>'Rate Tables'!$Q$21</f>
        <v>971.04</v>
      </c>
      <c r="AV372" s="661">
        <f>IF(AU376&lt;=AW376,AU376,AW376)</f>
        <v>0</v>
      </c>
      <c r="AW372" s="136">
        <f>((AR372*AT372)+(AS372*AU372))*AV372</f>
        <v>0</v>
      </c>
      <c r="AX372" s="125"/>
      <c r="AY372" s="125"/>
      <c r="AZ372" s="125"/>
      <c r="BA372" s="125"/>
      <c r="BB372" s="125"/>
      <c r="BC372" s="141">
        <f>IF($BK380&gt;0,1,0)</f>
        <v>0</v>
      </c>
      <c r="BD372" s="12">
        <f>IF($BK380=0,1,0)</f>
        <v>1</v>
      </c>
      <c r="BE372" s="129">
        <f>'Rate Tables'!$P$22</f>
        <v>965.7</v>
      </c>
      <c r="BF372" s="129">
        <f>'Rate Tables'!$Q$22</f>
        <v>990.46</v>
      </c>
      <c r="BG372" s="661">
        <f>IF(BF376&lt;=BH376,BF376,BH376)</f>
        <v>0</v>
      </c>
      <c r="BH372" s="136">
        <f>((BC372*BE372)+(BD372*BF372))*BG372</f>
        <v>0</v>
      </c>
      <c r="BI372" s="19"/>
      <c r="BJ372" s="12"/>
      <c r="BK372" s="307">
        <f>ROUNDUP(BK371,0)</f>
        <v>9</v>
      </c>
      <c r="BL372" s="349">
        <f>IF(BL371="yes",0.5,1)</f>
        <v>1</v>
      </c>
      <c r="BM372" s="12"/>
      <c r="BN372" s="285"/>
      <c r="BO372" s="15"/>
    </row>
    <row r="373" spans="1:67" x14ac:dyDescent="0.25">
      <c r="A373" s="145"/>
      <c r="B373" s="12"/>
      <c r="C373" s="115"/>
      <c r="D373" s="12"/>
      <c r="E373" s="126"/>
      <c r="F373" s="19"/>
      <c r="G373" s="12"/>
      <c r="H373" s="12"/>
      <c r="I373" s="12"/>
      <c r="J373" s="141">
        <f>IF($BK380&gt;0,1,0)</f>
        <v>0</v>
      </c>
      <c r="K373" s="12">
        <f>IF($BK380=0,1,0)</f>
        <v>1</v>
      </c>
      <c r="L373" s="129">
        <f>'Rate Tables'!$P$19</f>
        <v>910</v>
      </c>
      <c r="M373" s="129">
        <f>'Rate Tables'!$Q$19</f>
        <v>933.34</v>
      </c>
      <c r="N373" s="661">
        <f>ROUNDUP(N377,0)</f>
        <v>0</v>
      </c>
      <c r="O373" s="136">
        <f>((J373*L373)+(K373*M373))*N373</f>
        <v>0</v>
      </c>
      <c r="P373" s="19"/>
      <c r="Q373" s="19"/>
      <c r="R373" s="19"/>
      <c r="S373" s="19"/>
      <c r="T373" s="19"/>
      <c r="U373" s="12"/>
      <c r="V373" s="141">
        <f>IF($BK380&gt;0,1,0)</f>
        <v>0</v>
      </c>
      <c r="W373" s="12">
        <f>IF($BK380=0,1,0)</f>
        <v>1</v>
      </c>
      <c r="X373" s="129">
        <f>'Rate Tables'!$P$20</f>
        <v>928.2</v>
      </c>
      <c r="Y373" s="129">
        <f>'Rate Tables'!$Q$20</f>
        <v>952</v>
      </c>
      <c r="Z373" s="661">
        <f>IF(Y377&lt;=AA378,Y377,AA378)</f>
        <v>9</v>
      </c>
      <c r="AA373" s="136">
        <f>((V373*X373)+(W373*Y373))*Z373</f>
        <v>8568</v>
      </c>
      <c r="AB373" s="20"/>
      <c r="AC373" s="20"/>
      <c r="AD373" s="20"/>
      <c r="AE373" s="20"/>
      <c r="AF373" s="123"/>
      <c r="AG373" s="141">
        <f>IF($BK380&gt;0,1,0)</f>
        <v>0</v>
      </c>
      <c r="AH373" s="12">
        <f>IF($BK380=0,1,0)</f>
        <v>1</v>
      </c>
      <c r="AI373" s="129">
        <f>'Rate Tables'!$P$21</f>
        <v>946.76</v>
      </c>
      <c r="AJ373" s="129">
        <f>'Rate Tables'!$Q$21</f>
        <v>971.04</v>
      </c>
      <c r="AK373" s="661">
        <f>IF(AJ377&lt;=AL377,AJ377,AL377)</f>
        <v>0</v>
      </c>
      <c r="AL373" s="136">
        <f>((AG373*AI373)+(AH373*AJ373))*AK373</f>
        <v>0</v>
      </c>
      <c r="AM373" s="11"/>
      <c r="AN373" s="19"/>
      <c r="AO373" s="19"/>
      <c r="AP373" s="19"/>
      <c r="AQ373" s="19"/>
      <c r="AR373" s="141">
        <f>IF($BK380&gt;0,1,0)</f>
        <v>0</v>
      </c>
      <c r="AS373" s="12">
        <f>IF($BK380=0,1,0)</f>
        <v>1</v>
      </c>
      <c r="AT373" s="129">
        <f>'Rate Tables'!$P$22</f>
        <v>965.7</v>
      </c>
      <c r="AU373" s="129">
        <f>'Rate Tables'!$Q$22</f>
        <v>990.46</v>
      </c>
      <c r="AV373" s="661">
        <f>IF(AU376&lt;=AW377,AU376,AW377)</f>
        <v>0</v>
      </c>
      <c r="AW373" s="136">
        <f>((AR373*AT373)+(AS373*AU373))*AV373</f>
        <v>0</v>
      </c>
      <c r="AX373" s="125"/>
      <c r="AY373" s="125"/>
      <c r="AZ373" s="125"/>
      <c r="BA373" s="125"/>
      <c r="BB373" s="125"/>
      <c r="BC373" s="141">
        <f>IF($BK380&gt;0,1,0)</f>
        <v>0</v>
      </c>
      <c r="BD373" s="12">
        <f>IF($BK380=0,1,0)</f>
        <v>1</v>
      </c>
      <c r="BE373" s="129">
        <f>'Rate Tables'!$P$23</f>
        <v>985.01</v>
      </c>
      <c r="BF373" s="129">
        <f>'Rate Tables'!$Q$23</f>
        <v>1010.27</v>
      </c>
      <c r="BG373" s="661">
        <f>IF(BF376&lt;=BH377,BF376,BH377)</f>
        <v>0</v>
      </c>
      <c r="BH373" s="136">
        <f>((BC373*BE373)+(BD373*BF373))*BG373</f>
        <v>0</v>
      </c>
      <c r="BI373" s="19"/>
      <c r="BJ373" s="12"/>
      <c r="BK373" s="307"/>
      <c r="BL373" s="349"/>
      <c r="BM373" s="12"/>
      <c r="BN373" s="285"/>
      <c r="BO373" s="15"/>
    </row>
    <row r="374" spans="1:67" x14ac:dyDescent="0.25">
      <c r="A374" s="145"/>
      <c r="B374" s="12"/>
      <c r="C374" s="115"/>
      <c r="D374" s="12"/>
      <c r="E374" s="126"/>
      <c r="F374" s="19"/>
      <c r="G374" s="12"/>
      <c r="H374" s="12"/>
      <c r="I374" s="12"/>
      <c r="J374" s="141">
        <f>IF($BK380&gt;0,1,0)</f>
        <v>0</v>
      </c>
      <c r="K374" s="12">
        <f>IF($BK380=0,1,0)</f>
        <v>1</v>
      </c>
      <c r="L374" s="129">
        <f>'Rate Tables'!$P$20</f>
        <v>928.2</v>
      </c>
      <c r="M374" s="129">
        <f>'Rate Tables'!$Q$20</f>
        <v>952</v>
      </c>
      <c r="N374" s="661">
        <f>ROUNDUP(N378,0)</f>
        <v>0</v>
      </c>
      <c r="O374" s="136">
        <f>((J374*L374)+(K374*M374))*N374</f>
        <v>0</v>
      </c>
      <c r="P374" s="19"/>
      <c r="Q374" s="19"/>
      <c r="R374" s="19"/>
      <c r="S374" s="19"/>
      <c r="T374" s="19"/>
      <c r="U374" s="12"/>
      <c r="V374" s="141">
        <f>IF($BK380&gt;0,1,0)</f>
        <v>0</v>
      </c>
      <c r="W374" s="12">
        <f>IF($BK380=0,1,0)</f>
        <v>1</v>
      </c>
      <c r="X374" s="129">
        <f>'Rate Tables'!$P$21</f>
        <v>946.76</v>
      </c>
      <c r="Y374" s="129">
        <f>'Rate Tables'!$Q$21</f>
        <v>971.04</v>
      </c>
      <c r="Z374" s="661">
        <f>IF(Y377&lt;=AA379,Y377,AA379)</f>
        <v>0</v>
      </c>
      <c r="AA374" s="136">
        <f>((V374*X374)+(W374*Y374))*Z374</f>
        <v>0</v>
      </c>
      <c r="AB374" s="20"/>
      <c r="AC374" s="20"/>
      <c r="AD374" s="20"/>
      <c r="AE374" s="20"/>
      <c r="AF374" s="123"/>
      <c r="AG374" s="141">
        <f>IF($BK380&gt;0,1,0)</f>
        <v>0</v>
      </c>
      <c r="AH374" s="12">
        <f>IF($BK380=0,1,0)</f>
        <v>1</v>
      </c>
      <c r="AI374" s="129">
        <f>'Rate Tables'!$P$22</f>
        <v>965.7</v>
      </c>
      <c r="AJ374" s="129">
        <f>'Rate Tables'!$Q$22</f>
        <v>990.46</v>
      </c>
      <c r="AK374" s="661">
        <f>IF(AJ377&lt;=AL378,AJ377,AL378)</f>
        <v>0</v>
      </c>
      <c r="AL374" s="136">
        <f>((AG374*AI374)+(AH374*AJ374))*AK374</f>
        <v>0</v>
      </c>
      <c r="AM374" s="11"/>
      <c r="AN374" s="19"/>
      <c r="AO374" s="19"/>
      <c r="AP374" s="19"/>
      <c r="AQ374" s="19"/>
      <c r="AR374" s="141">
        <f>IF($BK380&gt;0,1,0)</f>
        <v>0</v>
      </c>
      <c r="AS374" s="12">
        <f>IF($BK380=0,1,0)</f>
        <v>1</v>
      </c>
      <c r="AT374" s="129">
        <f>'Rate Tables'!$P$23</f>
        <v>985.01</v>
      </c>
      <c r="AU374" s="129">
        <f>'Rate Tables'!$Q$23</f>
        <v>1010.27</v>
      </c>
      <c r="AV374" s="661">
        <f>IF(AU376&lt;=AW378,AU376,AW378)</f>
        <v>0</v>
      </c>
      <c r="AW374" s="136">
        <f>((AR374*AT374)+(AS374*AU374))*AV374</f>
        <v>0</v>
      </c>
      <c r="AX374" s="125"/>
      <c r="AY374" s="125"/>
      <c r="AZ374" s="125"/>
      <c r="BA374" s="125"/>
      <c r="BB374" s="125"/>
      <c r="BC374" s="141">
        <f>IF($BK380&gt;0,1,0)</f>
        <v>0</v>
      </c>
      <c r="BD374" s="12">
        <f>IF($BK380=0,1,0)</f>
        <v>1</v>
      </c>
      <c r="BE374" s="129">
        <f>'Rate Tables'!$P$24</f>
        <v>1004.71</v>
      </c>
      <c r="BF374" s="129">
        <f>'Rate Tables'!$Q$24</f>
        <v>1030.47</v>
      </c>
      <c r="BG374" s="661">
        <f>IF(BF376&lt;=BH378,BF376,BH378)</f>
        <v>0</v>
      </c>
      <c r="BH374" s="136">
        <f>((BC374*BE374)+(BD374*BF374))*BG374</f>
        <v>0</v>
      </c>
      <c r="BI374" s="19"/>
      <c r="BJ374" s="12"/>
      <c r="BK374" s="307"/>
      <c r="BL374" s="349"/>
      <c r="BM374" s="12"/>
      <c r="BN374" s="285"/>
      <c r="BO374" s="15"/>
    </row>
    <row r="375" spans="1:67" x14ac:dyDescent="0.25">
      <c r="A375" s="145"/>
      <c r="B375" s="12"/>
      <c r="C375" s="115"/>
      <c r="D375" s="12"/>
      <c r="E375" s="126"/>
      <c r="F375" s="19"/>
      <c r="G375" s="12"/>
      <c r="H375" s="12"/>
      <c r="I375" s="12"/>
      <c r="J375" s="141"/>
      <c r="K375" s="12"/>
      <c r="L375" s="129"/>
      <c r="M375" s="129"/>
      <c r="N375" s="661">
        <f>L363*M363*F363</f>
        <v>0</v>
      </c>
      <c r="O375" s="136"/>
      <c r="P375" s="19"/>
      <c r="Q375" s="19"/>
      <c r="R375" s="19"/>
      <c r="S375" s="19"/>
      <c r="T375" s="19"/>
      <c r="U375" s="12"/>
      <c r="V375" s="141"/>
      <c r="W375" s="12"/>
      <c r="X375" s="129"/>
      <c r="Y375" s="129"/>
      <c r="Z375" s="661"/>
      <c r="AA375" s="125"/>
      <c r="AB375" s="20"/>
      <c r="AC375" s="20"/>
      <c r="AD375" s="20"/>
      <c r="AE375" s="20"/>
      <c r="AF375" s="123"/>
      <c r="AG375" s="141"/>
      <c r="AH375" s="12"/>
      <c r="AI375" s="129"/>
      <c r="AJ375" s="129"/>
      <c r="AK375" s="731">
        <f>AI363*AJ363*F363</f>
        <v>0</v>
      </c>
      <c r="AL375" s="655">
        <f>ROUNDUP(AK375,0)</f>
        <v>0</v>
      </c>
      <c r="AM375" s="11"/>
      <c r="AN375" s="19"/>
      <c r="AO375" s="19"/>
      <c r="AP375" s="19"/>
      <c r="AQ375" s="19"/>
      <c r="AR375" s="141"/>
      <c r="AS375" s="12"/>
      <c r="AT375" s="129"/>
      <c r="AU375" s="129"/>
      <c r="AV375" s="731">
        <f>AT363*AU363*F363</f>
        <v>0</v>
      </c>
      <c r="AW375" s="655">
        <f>ROUNDUP(AV375,0)</f>
        <v>0</v>
      </c>
      <c r="AX375" s="125"/>
      <c r="AY375" s="125"/>
      <c r="AZ375" s="125"/>
      <c r="BA375" s="125"/>
      <c r="BB375" s="125"/>
      <c r="BC375" s="141"/>
      <c r="BD375" s="12"/>
      <c r="BE375" s="129"/>
      <c r="BF375" s="129"/>
      <c r="BG375" s="731">
        <f>BE363*BF363*F363</f>
        <v>0</v>
      </c>
      <c r="BH375" s="655">
        <f>ROUNDUP(BG375,0)</f>
        <v>0</v>
      </c>
      <c r="BI375" s="19"/>
      <c r="BJ375" s="12"/>
      <c r="BK375" s="307"/>
      <c r="BL375" s="349"/>
      <c r="BM375" s="12"/>
      <c r="BN375" s="285"/>
      <c r="BO375" s="15"/>
    </row>
    <row r="376" spans="1:67" x14ac:dyDescent="0.25">
      <c r="A376" s="145"/>
      <c r="B376" s="12"/>
      <c r="C376" s="115"/>
      <c r="D376" s="12"/>
      <c r="E376" s="126"/>
      <c r="F376" s="19"/>
      <c r="G376" s="12"/>
      <c r="H376" s="12"/>
      <c r="I376" s="12"/>
      <c r="J376" s="141"/>
      <c r="K376" s="12"/>
      <c r="L376" s="129"/>
      <c r="M376" s="129"/>
      <c r="N376" s="661">
        <f>L365*M365*F365</f>
        <v>0</v>
      </c>
      <c r="O376" s="136"/>
      <c r="P376" s="19"/>
      <c r="Q376" s="19"/>
      <c r="R376" s="19"/>
      <c r="S376" s="19"/>
      <c r="T376" s="19"/>
      <c r="U376" s="12"/>
      <c r="V376" s="141"/>
      <c r="W376" s="12"/>
      <c r="X376" s="129"/>
      <c r="Y376" s="129"/>
      <c r="Z376" s="731">
        <f>X363*Y363*F363</f>
        <v>0</v>
      </c>
      <c r="AA376" s="655">
        <f>ROUNDUP(Z376,0)</f>
        <v>0</v>
      </c>
      <c r="AB376" s="20"/>
      <c r="AC376" s="20"/>
      <c r="AD376" s="20"/>
      <c r="AE376" s="20"/>
      <c r="AF376" s="123"/>
      <c r="AG376" s="141"/>
      <c r="AH376" s="12"/>
      <c r="AI376" s="129"/>
      <c r="AJ376" s="129"/>
      <c r="AK376" s="731">
        <f>AI365*AJ365*F365</f>
        <v>0</v>
      </c>
      <c r="AL376" s="732">
        <f>ROUNDUP(AK376,0)</f>
        <v>0</v>
      </c>
      <c r="AM376" s="11"/>
      <c r="AN376" s="19"/>
      <c r="AO376" s="19"/>
      <c r="AP376" s="19"/>
      <c r="AQ376" s="19"/>
      <c r="AR376" s="141"/>
      <c r="AS376" s="12"/>
      <c r="AT376" s="653" t="s">
        <v>581</v>
      </c>
      <c r="AU376" s="653">
        <f>AJ377-AK371-AK372*AK373-AK374</f>
        <v>0</v>
      </c>
      <c r="AV376" s="731">
        <f>AT365*AU365*F365</f>
        <v>0</v>
      </c>
      <c r="AW376" s="732">
        <f>ROUNDUP(AV376,0)</f>
        <v>0</v>
      </c>
      <c r="AX376" s="119"/>
      <c r="AY376" s="119"/>
      <c r="AZ376" s="119"/>
      <c r="BA376" s="119"/>
      <c r="BB376" s="119"/>
      <c r="BC376" s="141"/>
      <c r="BD376" s="12"/>
      <c r="BE376" s="653" t="s">
        <v>581</v>
      </c>
      <c r="BF376" s="653">
        <f>AU376-AV371-AV372*AV373-AV374</f>
        <v>0</v>
      </c>
      <c r="BG376" s="731">
        <f>BE365*BF365*F365</f>
        <v>0</v>
      </c>
      <c r="BH376" s="732">
        <f>ROUNDUP(BG376,0)</f>
        <v>0</v>
      </c>
      <c r="BI376" s="19"/>
      <c r="BJ376" s="12"/>
      <c r="BK376" s="307"/>
      <c r="BL376" s="349"/>
      <c r="BM376" s="12"/>
      <c r="BN376" s="285"/>
      <c r="BO376" s="15"/>
    </row>
    <row r="377" spans="1:67" x14ac:dyDescent="0.25">
      <c r="A377" s="145"/>
      <c r="B377" s="12"/>
      <c r="C377" s="115"/>
      <c r="D377" s="12"/>
      <c r="E377" s="126"/>
      <c r="F377" s="19"/>
      <c r="G377" s="12" t="s">
        <v>585</v>
      </c>
      <c r="H377" s="12"/>
      <c r="I377" s="12"/>
      <c r="J377" s="141"/>
      <c r="K377" s="12"/>
      <c r="L377" s="129"/>
      <c r="M377" s="129"/>
      <c r="N377" s="661">
        <f>L367*M367*F367</f>
        <v>0</v>
      </c>
      <c r="O377" s="136"/>
      <c r="P377" s="19"/>
      <c r="Q377" s="19"/>
      <c r="R377" s="19"/>
      <c r="S377" s="19"/>
      <c r="T377" s="19"/>
      <c r="U377" s="12"/>
      <c r="V377" s="141"/>
      <c r="W377" s="12"/>
      <c r="X377" s="653" t="s">
        <v>581</v>
      </c>
      <c r="Y377" s="653">
        <f>BK372-N371-N372-N373-N374</f>
        <v>9</v>
      </c>
      <c r="Z377" s="731">
        <f>X365*Y365*F365</f>
        <v>0</v>
      </c>
      <c r="AA377" s="732">
        <f>ROUNDUP(Z377,0)</f>
        <v>0</v>
      </c>
      <c r="AB377" s="20"/>
      <c r="AC377" s="20"/>
      <c r="AD377" s="20"/>
      <c r="AE377" s="20"/>
      <c r="AF377" s="123"/>
      <c r="AG377" s="141"/>
      <c r="AH377" s="12"/>
      <c r="AI377" s="653" t="s">
        <v>581</v>
      </c>
      <c r="AJ377" s="653">
        <f>Y377-Z371-Z372-Z373-Z374</f>
        <v>0</v>
      </c>
      <c r="AK377" s="731">
        <f>AI367*AJ367*F367</f>
        <v>0.5161</v>
      </c>
      <c r="AL377" s="732">
        <f>ROUNDUP(AK377,0)</f>
        <v>1</v>
      </c>
      <c r="AM377" s="11"/>
      <c r="AN377" s="19"/>
      <c r="AO377" s="19"/>
      <c r="AP377" s="19"/>
      <c r="AQ377" s="19"/>
      <c r="AR377" s="141"/>
      <c r="AS377" s="12"/>
      <c r="AT377" s="129"/>
      <c r="AU377" s="129"/>
      <c r="AV377" s="731">
        <f>AT367*AU367*F367</f>
        <v>0</v>
      </c>
      <c r="AW377" s="732">
        <f>ROUNDUP(AV377,0)</f>
        <v>0</v>
      </c>
      <c r="AX377" s="119"/>
      <c r="AY377" s="119"/>
      <c r="AZ377" s="119"/>
      <c r="BA377" s="119"/>
      <c r="BB377" s="119"/>
      <c r="BC377" s="141"/>
      <c r="BD377" s="12"/>
      <c r="BE377" s="129"/>
      <c r="BF377" s="129"/>
      <c r="BG377" s="731">
        <f>BE367*BF367*F367</f>
        <v>0</v>
      </c>
      <c r="BH377" s="732">
        <f>ROUNDUP(BG377,0)</f>
        <v>0</v>
      </c>
      <c r="BI377" s="19"/>
      <c r="BJ377" s="12"/>
      <c r="BK377" s="307"/>
      <c r="BL377" s="349"/>
      <c r="BM377" s="12"/>
      <c r="BN377" s="285"/>
      <c r="BO377" s="15"/>
    </row>
    <row r="378" spans="1:67" ht="26.25" x14ac:dyDescent="0.25">
      <c r="A378" s="145"/>
      <c r="B378" s="12"/>
      <c r="C378" s="259" t="s">
        <v>606</v>
      </c>
      <c r="D378" s="12"/>
      <c r="E378" s="126"/>
      <c r="F378" s="19"/>
      <c r="G378" s="12"/>
      <c r="H378" s="12"/>
      <c r="I378" s="12"/>
      <c r="J378" s="12"/>
      <c r="K378" s="12"/>
      <c r="L378" s="12"/>
      <c r="M378" s="12"/>
      <c r="N378" s="734">
        <f>L369*M369*F369</f>
        <v>0</v>
      </c>
      <c r="O378" s="18"/>
      <c r="P378" s="19"/>
      <c r="Q378" s="19"/>
      <c r="R378" s="19"/>
      <c r="S378" s="19"/>
      <c r="T378" s="19"/>
      <c r="U378" s="12"/>
      <c r="V378" s="122"/>
      <c r="W378" s="122"/>
      <c r="X378" s="122"/>
      <c r="Y378" s="119"/>
      <c r="Z378" s="731">
        <f>X367*Y367*F367</f>
        <v>8.4839000000000002</v>
      </c>
      <c r="AA378" s="732">
        <f>ROUNDUP(Z378,0)</f>
        <v>9</v>
      </c>
      <c r="AB378" s="20"/>
      <c r="AC378" s="20"/>
      <c r="AD378" s="20"/>
      <c r="AE378" s="20"/>
      <c r="AF378" s="123"/>
      <c r="AG378" s="122"/>
      <c r="AH378" s="122"/>
      <c r="AI378" s="122"/>
      <c r="AJ378" s="122"/>
      <c r="AK378" s="658">
        <f>AI369*AJ369*F369</f>
        <v>0</v>
      </c>
      <c r="AL378" s="659">
        <f>ROUNDUP(AK378,0)</f>
        <v>0</v>
      </c>
      <c r="AM378" s="11"/>
      <c r="AN378" s="19"/>
      <c r="AO378" s="19"/>
      <c r="AP378" s="19"/>
      <c r="AQ378" s="19"/>
      <c r="AR378" s="122"/>
      <c r="AS378" s="122"/>
      <c r="AT378" s="122"/>
      <c r="AU378" s="122"/>
      <c r="AV378" s="733">
        <f>AT369*AU369*F369</f>
        <v>0</v>
      </c>
      <c r="AW378" s="659">
        <f>ROUNDUP(AV378,0)</f>
        <v>0</v>
      </c>
      <c r="AX378" s="119"/>
      <c r="AY378" s="119"/>
      <c r="AZ378" s="119"/>
      <c r="BA378" s="119"/>
      <c r="BB378" s="119"/>
      <c r="BC378" s="122"/>
      <c r="BD378" s="122"/>
      <c r="BE378" s="122"/>
      <c r="BF378" s="122"/>
      <c r="BG378" s="733">
        <f>BE369*BF369*F369</f>
        <v>0</v>
      </c>
      <c r="BH378" s="659">
        <f>ROUNDUP(BG378,0)</f>
        <v>0</v>
      </c>
      <c r="BI378" s="19"/>
      <c r="BJ378" s="12"/>
      <c r="BK378" s="748" t="s">
        <v>411</v>
      </c>
      <c r="BL378" s="352" t="str">
        <f>Personnel!W92</f>
        <v>None</v>
      </c>
      <c r="BM378" s="276" t="s">
        <v>117</v>
      </c>
      <c r="BN378" s="285">
        <f>(N380+N382+N384+N386+W380+W382+W384+W386+AJ380+AJ382+AJ384+AJ386+AU380+AU382+AU384+AU386+BF380+BF382+BF384+BF386)*BI380</f>
        <v>0</v>
      </c>
      <c r="BO378" s="15"/>
    </row>
    <row r="379" spans="1:67" x14ac:dyDescent="0.25">
      <c r="A379" s="145"/>
      <c r="B379" s="12"/>
      <c r="C379" s="117" t="s">
        <v>30</v>
      </c>
      <c r="D379" s="12"/>
      <c r="E379" s="13" t="s">
        <v>84</v>
      </c>
      <c r="F379" s="13" t="s">
        <v>42</v>
      </c>
      <c r="G379" s="13" t="s">
        <v>41</v>
      </c>
      <c r="H379" s="65" t="s">
        <v>77</v>
      </c>
      <c r="I379" s="137" t="s">
        <v>101</v>
      </c>
      <c r="J379" s="139" t="s">
        <v>102</v>
      </c>
      <c r="K379" s="127" t="s">
        <v>98</v>
      </c>
      <c r="L379" s="13" t="s">
        <v>100</v>
      </c>
      <c r="M379" s="13" t="s">
        <v>82</v>
      </c>
      <c r="N379" s="13" t="s">
        <v>31</v>
      </c>
      <c r="O379" s="14" t="s">
        <v>69</v>
      </c>
      <c r="P379" s="13" t="s">
        <v>72</v>
      </c>
      <c r="Q379" s="13" t="s">
        <v>103</v>
      </c>
      <c r="R379" s="65" t="s">
        <v>77</v>
      </c>
      <c r="S379" s="137" t="s">
        <v>101</v>
      </c>
      <c r="T379" s="139" t="s">
        <v>102</v>
      </c>
      <c r="U379" s="12" t="s">
        <v>98</v>
      </c>
      <c r="V379" s="13" t="s">
        <v>100</v>
      </c>
      <c r="W379" s="13" t="s">
        <v>32</v>
      </c>
      <c r="X379" s="13" t="s">
        <v>69</v>
      </c>
      <c r="Y379" s="13"/>
      <c r="Z379" s="658">
        <f>X369*Y369*F369</f>
        <v>0</v>
      </c>
      <c r="AA379" s="659">
        <f>ROUNDUP(Z379,0)</f>
        <v>0</v>
      </c>
      <c r="AB379" s="13" t="s">
        <v>72</v>
      </c>
      <c r="AC379" s="13" t="s">
        <v>103</v>
      </c>
      <c r="AD379" s="13"/>
      <c r="AE379" s="65" t="s">
        <v>77</v>
      </c>
      <c r="AF379" s="137" t="s">
        <v>101</v>
      </c>
      <c r="AG379" s="139" t="s">
        <v>102</v>
      </c>
      <c r="AH379" s="12" t="s">
        <v>98</v>
      </c>
      <c r="AI379" s="13" t="s">
        <v>100</v>
      </c>
      <c r="AJ379" s="13" t="s">
        <v>33</v>
      </c>
      <c r="AK379" s="13" t="s">
        <v>69</v>
      </c>
      <c r="AL379" s="18"/>
      <c r="AM379" s="13" t="s">
        <v>72</v>
      </c>
      <c r="AN379" s="13" t="s">
        <v>103</v>
      </c>
      <c r="AO379" s="13"/>
      <c r="AP379" s="65" t="s">
        <v>77</v>
      </c>
      <c r="AQ379" s="137" t="s">
        <v>101</v>
      </c>
      <c r="AR379" s="139" t="s">
        <v>102</v>
      </c>
      <c r="AS379" s="12" t="s">
        <v>98</v>
      </c>
      <c r="AT379" s="13" t="s">
        <v>100</v>
      </c>
      <c r="AU379" s="13" t="s">
        <v>33</v>
      </c>
      <c r="AV379" s="13" t="s">
        <v>69</v>
      </c>
      <c r="AW379" s="18"/>
      <c r="AX379" s="13" t="s">
        <v>72</v>
      </c>
      <c r="AY379" s="13" t="s">
        <v>103</v>
      </c>
      <c r="AZ379" s="13"/>
      <c r="BA379" s="65" t="s">
        <v>77</v>
      </c>
      <c r="BB379" s="137" t="s">
        <v>101</v>
      </c>
      <c r="BC379" s="139" t="s">
        <v>102</v>
      </c>
      <c r="BD379" s="12" t="s">
        <v>98</v>
      </c>
      <c r="BE379" s="13" t="s">
        <v>100</v>
      </c>
      <c r="BF379" s="13" t="s">
        <v>33</v>
      </c>
      <c r="BG379" s="13" t="s">
        <v>69</v>
      </c>
      <c r="BH379" s="18"/>
      <c r="BI379" s="13" t="s">
        <v>159</v>
      </c>
      <c r="BJ379" s="12"/>
      <c r="BK379" s="276" t="s">
        <v>95</v>
      </c>
      <c r="BL379" s="349"/>
      <c r="BM379" s="276" t="s">
        <v>186</v>
      </c>
      <c r="BN379" s="285">
        <f>BN378*'Rate Tables'!P$8</f>
        <v>0</v>
      </c>
      <c r="BO379" s="15"/>
    </row>
    <row r="380" spans="1:67" x14ac:dyDescent="0.25">
      <c r="A380" s="145"/>
      <c r="B380" s="12"/>
      <c r="C380" s="115"/>
      <c r="D380" s="12"/>
      <c r="E380" s="211">
        <f>IF(H407&lt;=H408,H407,H408)</f>
        <v>0</v>
      </c>
      <c r="F380" s="19">
        <f>IF($D$4=2022,1,0)</f>
        <v>0</v>
      </c>
      <c r="G380" s="178">
        <f>IF($B407="Yes",$C$5,$I406)</f>
        <v>12</v>
      </c>
      <c r="H380" s="36">
        <f>H363</f>
        <v>3</v>
      </c>
      <c r="I380" s="138">
        <f>VLOOKUP(J363,'Lookup Tables'!$AB$22:$AC$31,2,FALSE)</f>
        <v>32</v>
      </c>
      <c r="J380" s="140">
        <f>VLOOKUP(U363,'Lookup Tables'!$AB$32:$AC$41,2,FALSE)</f>
        <v>33</v>
      </c>
      <c r="K380" s="123">
        <f>E380-J380</f>
        <v>-33</v>
      </c>
      <c r="L380" s="12">
        <f>IF(K380&gt;0,1,0)</f>
        <v>0</v>
      </c>
      <c r="M380" s="119">
        <f>M363</f>
        <v>0</v>
      </c>
      <c r="N380" s="15">
        <f>((((('Rate Tables'!B85*9)*0.02778)/5)*K380)*L380)*F380*M380*BK382</f>
        <v>0</v>
      </c>
      <c r="O380" s="28">
        <f>O363</f>
        <v>12</v>
      </c>
      <c r="P380" s="8">
        <f>IF(O380&lt;0,O380*0,1)*O380</f>
        <v>12</v>
      </c>
      <c r="Q380" s="123">
        <f>(E380-K380*F380*L380*M380)</f>
        <v>0</v>
      </c>
      <c r="R380" s="36">
        <f>S363</f>
        <v>3</v>
      </c>
      <c r="S380" s="138">
        <f>VLOOKUP(U363,'Lookup Tables'!$AB$22:$AC$31,2,FALSE)</f>
        <v>32</v>
      </c>
      <c r="T380" s="140">
        <f>VLOOKUP(AF363,'Lookup Tables'!$AB$32:$AC$41,2,FALSE)</f>
        <v>33</v>
      </c>
      <c r="U380" s="129">
        <f>Q380-T380</f>
        <v>-33</v>
      </c>
      <c r="V380" s="12">
        <f>IF(U380&gt;0,1,0)</f>
        <v>0</v>
      </c>
      <c r="W380" s="15">
        <f>((('Rate Tables'!C85*9)*0.02778)/5)*U380*F380*V380*BK382</f>
        <v>0</v>
      </c>
      <c r="X380" s="8">
        <f>AA363</f>
        <v>2</v>
      </c>
      <c r="Y380" s="12"/>
      <c r="Z380" s="119"/>
      <c r="AA380" s="18"/>
      <c r="AB380" s="8">
        <f>IF(X380&lt;0,X380*0,1)*X380</f>
        <v>2</v>
      </c>
      <c r="AC380" s="123">
        <f>Q380-(U380*V380)</f>
        <v>0</v>
      </c>
      <c r="AD380" s="12"/>
      <c r="AE380" s="36">
        <f>AE363</f>
        <v>1</v>
      </c>
      <c r="AF380" s="138">
        <f>VLOOKUP(AF363,'Lookup Tables'!$AB$22:$AC$31,2,FALSE)</f>
        <v>32</v>
      </c>
      <c r="AG380" s="140">
        <f>VLOOKUP(AQ363,'Lookup Tables'!$AB$32:$AC$41,2,FALSE)</f>
        <v>0</v>
      </c>
      <c r="AH380" s="125">
        <f>AC380-AG380</f>
        <v>0</v>
      </c>
      <c r="AI380" s="12">
        <f>IF(AH380&gt;0,1,0)</f>
        <v>0</v>
      </c>
      <c r="AJ380" s="15">
        <f>((('Rate Tables'!D85*9)*0.02778)/5)*AH380*AI380*F380*BK382</f>
        <v>0</v>
      </c>
      <c r="AK380" s="8">
        <f>AL363</f>
        <v>0</v>
      </c>
      <c r="AL380" s="18"/>
      <c r="AM380" s="8">
        <f>IF(AK380&lt;0,AK380*0,1)*AK380</f>
        <v>0</v>
      </c>
      <c r="AN380" s="123">
        <f>AC380-(AH380*AI380)</f>
        <v>0</v>
      </c>
      <c r="AO380" s="123"/>
      <c r="AP380" s="36">
        <f>AP363</f>
        <v>3</v>
      </c>
      <c r="AQ380" s="138">
        <f>VLOOKUP(AQ363,'Lookup Tables'!$AB$22:$AC$31,2,FALSE)</f>
        <v>0</v>
      </c>
      <c r="AR380" s="140">
        <f>VLOOKUP(BB363,'Lookup Tables'!$AB$32:$AC$41,2,FALSE)</f>
        <v>0</v>
      </c>
      <c r="AS380" s="125">
        <f>AN380-AR380</f>
        <v>0</v>
      </c>
      <c r="AT380" s="12">
        <f>IF(AS380&gt;0,1,0)</f>
        <v>0</v>
      </c>
      <c r="AU380" s="15">
        <f>((('Rate Tables'!E85*9)*0.02778)/5)*AS380*AT380*F380*BK382</f>
        <v>0</v>
      </c>
      <c r="AV380" s="8">
        <f>AW363</f>
        <v>0</v>
      </c>
      <c r="AW380" s="18"/>
      <c r="AX380" s="8">
        <f>IF(AV380&lt;0,AV380*0,1)*AV380</f>
        <v>0</v>
      </c>
      <c r="AY380" s="123">
        <f>AN380-(AS380*AT380)</f>
        <v>0</v>
      </c>
      <c r="AZ380" s="123"/>
      <c r="BA380" s="36">
        <f>BA363</f>
        <v>3</v>
      </c>
      <c r="BB380" s="138">
        <f>VLOOKUP(BB363,'Lookup Tables'!$AB$22:$AC$31,2,FALSE)</f>
        <v>0</v>
      </c>
      <c r="BC380" s="140">
        <v>0</v>
      </c>
      <c r="BD380" s="125">
        <f>AY380-BC380</f>
        <v>0</v>
      </c>
      <c r="BE380" s="12">
        <f>IF(BD380&gt;0,1,0)</f>
        <v>0</v>
      </c>
      <c r="BF380" s="15">
        <f>((('Rate Tables'!F85*9)*0.02778)/5)*BD380*BE380*F380*BK382</f>
        <v>0</v>
      </c>
      <c r="BG380" s="8">
        <f>BH363</f>
        <v>0</v>
      </c>
      <c r="BH380" s="18"/>
      <c r="BI380" s="19">
        <f>VLOOKUP(B359,'Lookup Tables'!$AK$22:$AM$24,2,0)</f>
        <v>0</v>
      </c>
      <c r="BJ380" s="12"/>
      <c r="BK380" s="308">
        <f>VLOOKUP(BL378,'Lookup Tables'!$AF$22:$AG$24,2,FALSE)</f>
        <v>0</v>
      </c>
      <c r="BL380" s="350"/>
      <c r="BM380" s="12"/>
      <c r="BN380" s="285"/>
      <c r="BO380" s="15"/>
    </row>
    <row r="381" spans="1:67" x14ac:dyDescent="0.25">
      <c r="A381" s="145"/>
      <c r="B381" s="12"/>
      <c r="C381" s="117" t="s">
        <v>597</v>
      </c>
      <c r="D381" s="12"/>
      <c r="E381" s="13" t="s">
        <v>84</v>
      </c>
      <c r="F381" s="13" t="s">
        <v>42</v>
      </c>
      <c r="G381" s="13" t="s">
        <v>41</v>
      </c>
      <c r="H381" s="65" t="s">
        <v>77</v>
      </c>
      <c r="I381" s="137" t="s">
        <v>105</v>
      </c>
      <c r="J381" s="139" t="s">
        <v>106</v>
      </c>
      <c r="K381" s="127" t="s">
        <v>99</v>
      </c>
      <c r="L381" s="13" t="s">
        <v>100</v>
      </c>
      <c r="M381" s="13" t="s">
        <v>82</v>
      </c>
      <c r="N381" s="13" t="s">
        <v>32</v>
      </c>
      <c r="O381" s="14" t="s">
        <v>69</v>
      </c>
      <c r="P381" s="13" t="s">
        <v>72</v>
      </c>
      <c r="Q381" s="13" t="s">
        <v>103</v>
      </c>
      <c r="R381" s="65" t="s">
        <v>77</v>
      </c>
      <c r="S381" s="137" t="s">
        <v>105</v>
      </c>
      <c r="T381" s="139" t="s">
        <v>106</v>
      </c>
      <c r="U381" s="12" t="s">
        <v>98</v>
      </c>
      <c r="V381" s="13" t="s">
        <v>100</v>
      </c>
      <c r="W381" s="13" t="s">
        <v>33</v>
      </c>
      <c r="X381" s="13" t="s">
        <v>69</v>
      </c>
      <c r="Y381" s="13"/>
      <c r="Z381" s="13"/>
      <c r="AA381" s="18"/>
      <c r="AB381" s="13" t="s">
        <v>72</v>
      </c>
      <c r="AC381" s="13" t="s">
        <v>104</v>
      </c>
      <c r="AD381" s="13"/>
      <c r="AE381" s="65" t="s">
        <v>77</v>
      </c>
      <c r="AF381" s="137" t="s">
        <v>105</v>
      </c>
      <c r="AG381" s="139" t="s">
        <v>106</v>
      </c>
      <c r="AH381" s="12" t="s">
        <v>98</v>
      </c>
      <c r="AI381" s="13" t="s">
        <v>100</v>
      </c>
      <c r="AJ381" s="13" t="s">
        <v>34</v>
      </c>
      <c r="AK381" s="13" t="s">
        <v>69</v>
      </c>
      <c r="AL381" s="18"/>
      <c r="AM381" s="13" t="s">
        <v>72</v>
      </c>
      <c r="AN381" s="13" t="s">
        <v>104</v>
      </c>
      <c r="AO381" s="13"/>
      <c r="AP381" s="65" t="s">
        <v>77</v>
      </c>
      <c r="AQ381" s="137" t="s">
        <v>105</v>
      </c>
      <c r="AR381" s="139" t="s">
        <v>106</v>
      </c>
      <c r="AS381" s="12" t="s">
        <v>98</v>
      </c>
      <c r="AT381" s="13" t="s">
        <v>100</v>
      </c>
      <c r="AU381" s="13" t="s">
        <v>34</v>
      </c>
      <c r="AV381" s="13" t="s">
        <v>69</v>
      </c>
      <c r="AW381" s="18"/>
      <c r="AX381" s="13" t="s">
        <v>72</v>
      </c>
      <c r="AY381" s="13" t="s">
        <v>104</v>
      </c>
      <c r="AZ381" s="13"/>
      <c r="BA381" s="65" t="s">
        <v>77</v>
      </c>
      <c r="BB381" s="137" t="s">
        <v>105</v>
      </c>
      <c r="BC381" s="139" t="s">
        <v>106</v>
      </c>
      <c r="BD381" s="12" t="s">
        <v>98</v>
      </c>
      <c r="BE381" s="13" t="s">
        <v>100</v>
      </c>
      <c r="BF381" s="13" t="s">
        <v>34</v>
      </c>
      <c r="BG381" s="13" t="s">
        <v>69</v>
      </c>
      <c r="BH381" s="18"/>
      <c r="BI381" s="13"/>
      <c r="BJ381" s="12"/>
      <c r="BK381" s="227" t="s">
        <v>126</v>
      </c>
      <c r="BL381" s="349" t="s">
        <v>643</v>
      </c>
      <c r="BM381" s="276" t="s">
        <v>187</v>
      </c>
      <c r="BN381" s="285">
        <f>(((O388+O389+O390+O391+AA388+AA389+AA390+AA391+AL388+AL389+AL390+AL391+AW388+AW389+AW390+AW391+BH388+BH389+BH390+BH391)*BI388)*BN382)*BL384</f>
        <v>0</v>
      </c>
      <c r="BO381" s="15"/>
    </row>
    <row r="382" spans="1:67" x14ac:dyDescent="0.25">
      <c r="A382" s="145"/>
      <c r="B382" s="12"/>
      <c r="C382" s="115"/>
      <c r="D382" s="12"/>
      <c r="E382" s="128">
        <f>E380</f>
        <v>0</v>
      </c>
      <c r="F382" s="19">
        <f>IF($D$4=2023,1,0)</f>
        <v>0</v>
      </c>
      <c r="G382" s="178">
        <f>IF($B407="Yes",$C$5,$I406)</f>
        <v>12</v>
      </c>
      <c r="H382" s="36">
        <f>H365</f>
        <v>3</v>
      </c>
      <c r="I382" s="138">
        <f>VLOOKUP(J365,'Lookup Tables'!$AB$22:$AC$31,2,FALSE)</f>
        <v>32</v>
      </c>
      <c r="J382" s="140">
        <f>VLOOKUP(U365,'Lookup Tables'!$AB$32:$AC$41,2,FALSE)</f>
        <v>33</v>
      </c>
      <c r="K382" s="123">
        <f>E382-J382</f>
        <v>-33</v>
      </c>
      <c r="L382" s="12">
        <f>IF(K382&gt;0,1,0)</f>
        <v>0</v>
      </c>
      <c r="M382" s="119">
        <f>M365</f>
        <v>0</v>
      </c>
      <c r="N382" s="15">
        <f>((((('Rate Tables'!C85*9)*0.02778)/5)*K382)*L382)*F382*M382*BK382</f>
        <v>0</v>
      </c>
      <c r="O382" s="28">
        <f>O365</f>
        <v>12</v>
      </c>
      <c r="P382" s="8">
        <f>IF(O382&lt;0,O382*0,1)*O382</f>
        <v>12</v>
      </c>
      <c r="Q382" s="123">
        <f>(E382-K382*F382*L382*M382)</f>
        <v>0</v>
      </c>
      <c r="R382" s="36">
        <f>S365</f>
        <v>3</v>
      </c>
      <c r="S382" s="138">
        <f>VLOOKUP(U365,'Lookup Tables'!$AB$22:$AC$31,2,FALSE)</f>
        <v>32</v>
      </c>
      <c r="T382" s="140">
        <f>VLOOKUP(AF365,'Lookup Tables'!$AB$32:$AC$41,2,FALSE)</f>
        <v>33</v>
      </c>
      <c r="U382" s="129">
        <f>Q382-T382</f>
        <v>-33</v>
      </c>
      <c r="V382" s="12">
        <f>IF(U382&gt;0,1,0)</f>
        <v>0</v>
      </c>
      <c r="W382" s="15">
        <f>((('Rate Tables'!D85*9)*0.02778)/5)*U382*F382*V382*BK382</f>
        <v>0</v>
      </c>
      <c r="X382" s="8">
        <f>AA365</f>
        <v>2</v>
      </c>
      <c r="Y382" s="12"/>
      <c r="Z382" s="119"/>
      <c r="AA382" s="18"/>
      <c r="AB382" s="8">
        <f>IF(X382&lt;0,X382*0,1)*X382</f>
        <v>2</v>
      </c>
      <c r="AC382" s="123">
        <f>Q382-(U382*V382)</f>
        <v>0</v>
      </c>
      <c r="AD382" s="12"/>
      <c r="AE382" s="36">
        <f>AE365</f>
        <v>1</v>
      </c>
      <c r="AF382" s="138">
        <f>VLOOKUP(AF365,'Lookup Tables'!$AB$22:$AC$31,2,FALSE)</f>
        <v>32</v>
      </c>
      <c r="AG382" s="140">
        <f>VLOOKUP(AQ365,'Lookup Tables'!$AB$32:$AC$41,2,FALSE)</f>
        <v>0</v>
      </c>
      <c r="AH382" s="125">
        <f>AC382-AG382</f>
        <v>0</v>
      </c>
      <c r="AI382" s="12">
        <f>IF(AH382&gt;0,1,0)</f>
        <v>0</v>
      </c>
      <c r="AJ382" s="15">
        <f>((('Rate Tables'!E85*9)*0.02778)/5)*AH382*AI382*F382*BK382</f>
        <v>0</v>
      </c>
      <c r="AK382" s="8">
        <f>AL365</f>
        <v>0</v>
      </c>
      <c r="AL382" s="18"/>
      <c r="AM382" s="8">
        <f>IF(AK382&lt;0,AK382*0,1)*AK382</f>
        <v>0</v>
      </c>
      <c r="AN382" s="123">
        <f>AC382-(AH382*AI382)</f>
        <v>0</v>
      </c>
      <c r="AO382" s="12"/>
      <c r="AP382" s="36">
        <f>AP365</f>
        <v>3</v>
      </c>
      <c r="AQ382" s="138">
        <f>VLOOKUP(AQ365,'Lookup Tables'!$AB$22:$AC$31,2,FALSE)</f>
        <v>0</v>
      </c>
      <c r="AR382" s="140">
        <f>VLOOKUP(BB365,'Lookup Tables'!$AB$32:$AC$41,2,FALSE)</f>
        <v>0</v>
      </c>
      <c r="AS382" s="125">
        <f>AN382-AR382</f>
        <v>0</v>
      </c>
      <c r="AT382" s="12">
        <f>IF(AS382&gt;0,1,0)</f>
        <v>0</v>
      </c>
      <c r="AU382" s="15">
        <f>((('Rate Tables'!F85*9)*0.02778)/5)*AS382*AT382*F382*BK382</f>
        <v>0</v>
      </c>
      <c r="AV382" s="8">
        <f>AW365</f>
        <v>0</v>
      </c>
      <c r="AW382" s="18"/>
      <c r="AX382" s="8">
        <f>IF(AV382&lt;0,AV382*0,1)*AV382</f>
        <v>0</v>
      </c>
      <c r="AY382" s="123">
        <f>AN382-(AS382*AT382)</f>
        <v>0</v>
      </c>
      <c r="AZ382" s="12"/>
      <c r="BA382" s="36">
        <f>BA365</f>
        <v>3</v>
      </c>
      <c r="BB382" s="138">
        <f>VLOOKUP(BB365,'Lookup Tables'!$AB$22:$AC$31,2,FALSE)</f>
        <v>0</v>
      </c>
      <c r="BC382" s="140">
        <v>0</v>
      </c>
      <c r="BD382" s="125">
        <f>AY382-BC382</f>
        <v>0</v>
      </c>
      <c r="BE382" s="12">
        <f>IF(BD382&gt;0,1,0)</f>
        <v>0</v>
      </c>
      <c r="BF382" s="15">
        <f>((('Rate Tables'!G85*9)*0.02778)/5)*BD382*BE382*F382*BK382</f>
        <v>0</v>
      </c>
      <c r="BG382" s="8">
        <f>BH365</f>
        <v>0</v>
      </c>
      <c r="BH382" s="18"/>
      <c r="BI382" s="19"/>
      <c r="BJ382" s="12"/>
      <c r="BK382" s="319">
        <f>VLOOKUP(BL378,'Lookup Tables'!$AF$26:$AG$28,2,0)</f>
        <v>0</v>
      </c>
      <c r="BL382" s="350" t="s">
        <v>644</v>
      </c>
      <c r="BM382" s="227" t="s">
        <v>582</v>
      </c>
      <c r="BN382" s="663">
        <f>IF(BN378&gt;0,1,0)</f>
        <v>0</v>
      </c>
      <c r="BO382" s="15"/>
    </row>
    <row r="383" spans="1:67" x14ac:dyDescent="0.25">
      <c r="A383" s="145"/>
      <c r="B383" s="12"/>
      <c r="C383" s="117" t="s">
        <v>664</v>
      </c>
      <c r="D383" s="12"/>
      <c r="E383" s="13" t="s">
        <v>84</v>
      </c>
      <c r="F383" s="13" t="s">
        <v>42</v>
      </c>
      <c r="G383" s="13" t="s">
        <v>41</v>
      </c>
      <c r="H383" s="65" t="s">
        <v>77</v>
      </c>
      <c r="I383" s="137" t="s">
        <v>105</v>
      </c>
      <c r="J383" s="139" t="s">
        <v>106</v>
      </c>
      <c r="K383" s="127" t="s">
        <v>99</v>
      </c>
      <c r="L383" s="13" t="s">
        <v>100</v>
      </c>
      <c r="M383" s="13" t="s">
        <v>82</v>
      </c>
      <c r="N383" s="13" t="s">
        <v>32</v>
      </c>
      <c r="O383" s="14" t="s">
        <v>69</v>
      </c>
      <c r="P383" s="13" t="s">
        <v>72</v>
      </c>
      <c r="Q383" s="13" t="s">
        <v>103</v>
      </c>
      <c r="R383" s="65" t="s">
        <v>77</v>
      </c>
      <c r="S383" s="137" t="s">
        <v>105</v>
      </c>
      <c r="T383" s="139" t="s">
        <v>106</v>
      </c>
      <c r="U383" s="12" t="s">
        <v>98</v>
      </c>
      <c r="V383" s="13" t="s">
        <v>100</v>
      </c>
      <c r="W383" s="13" t="s">
        <v>33</v>
      </c>
      <c r="X383" s="13" t="s">
        <v>69</v>
      </c>
      <c r="Y383" s="13"/>
      <c r="Z383" s="13"/>
      <c r="AA383" s="18"/>
      <c r="AB383" s="13" t="s">
        <v>72</v>
      </c>
      <c r="AC383" s="13" t="s">
        <v>104</v>
      </c>
      <c r="AD383" s="13"/>
      <c r="AE383" s="65" t="s">
        <v>77</v>
      </c>
      <c r="AF383" s="137" t="s">
        <v>105</v>
      </c>
      <c r="AG383" s="139" t="s">
        <v>106</v>
      </c>
      <c r="AH383" s="12" t="s">
        <v>98</v>
      </c>
      <c r="AI383" s="13" t="s">
        <v>100</v>
      </c>
      <c r="AJ383" s="13" t="s">
        <v>34</v>
      </c>
      <c r="AK383" s="13" t="s">
        <v>69</v>
      </c>
      <c r="AL383" s="18"/>
      <c r="AM383" s="13" t="s">
        <v>72</v>
      </c>
      <c r="AN383" s="13" t="s">
        <v>104</v>
      </c>
      <c r="AO383" s="13"/>
      <c r="AP383" s="65" t="s">
        <v>77</v>
      </c>
      <c r="AQ383" s="137" t="s">
        <v>105</v>
      </c>
      <c r="AR383" s="139" t="s">
        <v>106</v>
      </c>
      <c r="AS383" s="12" t="s">
        <v>98</v>
      </c>
      <c r="AT383" s="13" t="s">
        <v>100</v>
      </c>
      <c r="AU383" s="13" t="s">
        <v>34</v>
      </c>
      <c r="AV383" s="13" t="s">
        <v>69</v>
      </c>
      <c r="AW383" s="18"/>
      <c r="AX383" s="13" t="s">
        <v>72</v>
      </c>
      <c r="AY383" s="13" t="s">
        <v>104</v>
      </c>
      <c r="AZ383" s="13"/>
      <c r="BA383" s="65" t="s">
        <v>77</v>
      </c>
      <c r="BB383" s="137" t="s">
        <v>105</v>
      </c>
      <c r="BC383" s="139" t="s">
        <v>106</v>
      </c>
      <c r="BD383" s="12" t="s">
        <v>98</v>
      </c>
      <c r="BE383" s="13" t="s">
        <v>100</v>
      </c>
      <c r="BF383" s="13" t="s">
        <v>34</v>
      </c>
      <c r="BG383" s="13" t="s">
        <v>69</v>
      </c>
      <c r="BH383" s="18"/>
      <c r="BI383" s="19"/>
      <c r="BJ383" s="12"/>
      <c r="BK383" s="227"/>
      <c r="BL383" s="358" t="str">
        <f>IF(BL378="50% sum","no",Personnel!W94)</f>
        <v>No</v>
      </c>
      <c r="BM383" s="12"/>
      <c r="BN383" s="285"/>
      <c r="BO383" s="15"/>
    </row>
    <row r="384" spans="1:67" x14ac:dyDescent="0.25">
      <c r="A384" s="145"/>
      <c r="B384" s="12"/>
      <c r="C384" s="115"/>
      <c r="D384" s="12"/>
      <c r="E384" s="128">
        <f>E382</f>
        <v>0</v>
      </c>
      <c r="F384" s="19">
        <f>IF($D$4=2024,1,0)</f>
        <v>1</v>
      </c>
      <c r="G384" s="178">
        <f>IF($B407="Yes",$C$5,$I406)</f>
        <v>12</v>
      </c>
      <c r="H384" s="36">
        <f>H367</f>
        <v>3</v>
      </c>
      <c r="I384" s="138">
        <f>VLOOKUP(J367,'Lookup Tables'!$AB$22:$AC$31,2,FALSE)</f>
        <v>32</v>
      </c>
      <c r="J384" s="140">
        <f>VLOOKUP(U367,'Lookup Tables'!$AB$32:$AC$41,2,FALSE)</f>
        <v>33</v>
      </c>
      <c r="K384" s="123">
        <f>E384-J384</f>
        <v>-33</v>
      </c>
      <c r="L384" s="12">
        <f>IF(K384&gt;0,1,0)</f>
        <v>0</v>
      </c>
      <c r="M384" s="119">
        <f>M367</f>
        <v>0</v>
      </c>
      <c r="N384" s="15">
        <f>((((('Rate Tables'!D85*9)*0.02778)/5)*K384)*L384)*F384*M384*BK382</f>
        <v>0</v>
      </c>
      <c r="O384" s="28">
        <f>O367</f>
        <v>12</v>
      </c>
      <c r="P384" s="8">
        <f>IF(O384&lt;0,O384*0,1)*O384</f>
        <v>12</v>
      </c>
      <c r="Q384" s="123">
        <f>(E384-K384*F384*L384*M384)</f>
        <v>0</v>
      </c>
      <c r="R384" s="36">
        <f>S367</f>
        <v>3</v>
      </c>
      <c r="S384" s="138">
        <f>VLOOKUP(U367,'Lookup Tables'!$AB$22:$AC$31,2,FALSE)</f>
        <v>32</v>
      </c>
      <c r="T384" s="140">
        <f>VLOOKUP(AF367,'Lookup Tables'!$AB$32:$AC$41,2,FALSE)</f>
        <v>33</v>
      </c>
      <c r="U384" s="129">
        <f>Q384-T384</f>
        <v>-33</v>
      </c>
      <c r="V384" s="12">
        <f>IF(U384&gt;0,1,0)</f>
        <v>0</v>
      </c>
      <c r="W384" s="15">
        <f>((('Rate Tables'!E85*9)*0.02778)/5)*U384*F384*V384*BK382</f>
        <v>0</v>
      </c>
      <c r="X384" s="8">
        <f>AA367</f>
        <v>2</v>
      </c>
      <c r="Y384" s="12"/>
      <c r="Z384" s="119"/>
      <c r="AA384" s="18"/>
      <c r="AB384" s="8">
        <f>IF(X384&lt;0,X384*0,1)*X384</f>
        <v>2</v>
      </c>
      <c r="AC384" s="123">
        <f>Q384-(U384*V384)</f>
        <v>0</v>
      </c>
      <c r="AD384" s="12"/>
      <c r="AE384" s="36">
        <f>AE367</f>
        <v>1</v>
      </c>
      <c r="AF384" s="138">
        <f>VLOOKUP(AF367,'Lookup Tables'!$AB$22:$AC$31,2,FALSE)</f>
        <v>32</v>
      </c>
      <c r="AG384" s="140">
        <f>VLOOKUP(AQ367,'Lookup Tables'!$AB$32:$AC$41,2,FALSE)</f>
        <v>0</v>
      </c>
      <c r="AH384" s="125">
        <f>AC384-AG384</f>
        <v>0</v>
      </c>
      <c r="AI384" s="12">
        <f>IF(AH384&gt;0,1,0)</f>
        <v>0</v>
      </c>
      <c r="AJ384" s="15">
        <f>((('Rate Tables'!F85*9)*0.02778)/5)*AH384*AI384*F384*BK382</f>
        <v>0</v>
      </c>
      <c r="AK384" s="8">
        <f>AL367</f>
        <v>0</v>
      </c>
      <c r="AL384" s="18"/>
      <c r="AM384" s="8">
        <f>IF(AK384&lt;0,AK384*0,1)*AK384</f>
        <v>0</v>
      </c>
      <c r="AN384" s="123">
        <f>AC384-(AH384*AI384)</f>
        <v>0</v>
      </c>
      <c r="AO384" s="12"/>
      <c r="AP384" s="36">
        <f>AP367</f>
        <v>3</v>
      </c>
      <c r="AQ384" s="138">
        <f>VLOOKUP(AQ367,'Lookup Tables'!$AB$22:$AC$31,2,FALSE)</f>
        <v>0</v>
      </c>
      <c r="AR384" s="140">
        <f>VLOOKUP(BB367,'Lookup Tables'!$AB$32:$AC$41,2,FALSE)</f>
        <v>0</v>
      </c>
      <c r="AS384" s="125">
        <f>AN384-AR384</f>
        <v>0</v>
      </c>
      <c r="AT384" s="12">
        <f>IF(AS384&gt;0,1,0)</f>
        <v>0</v>
      </c>
      <c r="AU384" s="15">
        <f>((('Rate Tables'!G85*9)*0.02778)/5)*AS384*AT384*F384*BK382</f>
        <v>0</v>
      </c>
      <c r="AV384" s="8">
        <f>AW367</f>
        <v>0</v>
      </c>
      <c r="AW384" s="18"/>
      <c r="AX384" s="8">
        <f>IF(AV384&lt;0,AV384*0,1)*AV384</f>
        <v>0</v>
      </c>
      <c r="AY384" s="123">
        <f>AN384-(AS384*AT384)</f>
        <v>0</v>
      </c>
      <c r="AZ384" s="12"/>
      <c r="BA384" s="36">
        <f>BA367</f>
        <v>3</v>
      </c>
      <c r="BB384" s="138">
        <f>VLOOKUP(BB367,'Lookup Tables'!$AB$22:$AC$31,2,FALSE)</f>
        <v>0</v>
      </c>
      <c r="BC384" s="140">
        <v>0</v>
      </c>
      <c r="BD384" s="125">
        <f>AY384-BC384</f>
        <v>0</v>
      </c>
      <c r="BE384" s="12">
        <f>IF(BD384&gt;0,1,0)</f>
        <v>0</v>
      </c>
      <c r="BF384" s="15">
        <f>((('Rate Tables'!H85*9)*0.02778)/5)*BD384*BE384*F384*BK382</f>
        <v>0</v>
      </c>
      <c r="BG384" s="8">
        <f>BH367</f>
        <v>0</v>
      </c>
      <c r="BH384" s="18"/>
      <c r="BI384" s="19"/>
      <c r="BJ384" s="12"/>
      <c r="BK384" s="227"/>
      <c r="BL384" s="349">
        <f>IF(BL383="yes",0.5,1)</f>
        <v>1</v>
      </c>
      <c r="BM384" s="12"/>
      <c r="BN384" s="285"/>
      <c r="BO384" s="15"/>
    </row>
    <row r="385" spans="1:67" x14ac:dyDescent="0.25">
      <c r="A385" s="145"/>
      <c r="B385" s="12"/>
      <c r="C385" s="819" t="s">
        <v>732</v>
      </c>
      <c r="D385" s="12"/>
      <c r="E385" s="13" t="s">
        <v>84</v>
      </c>
      <c r="F385" s="13" t="s">
        <v>42</v>
      </c>
      <c r="G385" s="13" t="s">
        <v>41</v>
      </c>
      <c r="H385" s="65" t="s">
        <v>77</v>
      </c>
      <c r="I385" s="137" t="s">
        <v>105</v>
      </c>
      <c r="J385" s="139" t="s">
        <v>106</v>
      </c>
      <c r="K385" s="127" t="s">
        <v>99</v>
      </c>
      <c r="L385" s="13" t="s">
        <v>100</v>
      </c>
      <c r="M385" s="13" t="s">
        <v>82</v>
      </c>
      <c r="N385" s="13" t="s">
        <v>32</v>
      </c>
      <c r="O385" s="14" t="s">
        <v>69</v>
      </c>
      <c r="P385" s="13" t="s">
        <v>72</v>
      </c>
      <c r="Q385" s="13" t="s">
        <v>103</v>
      </c>
      <c r="R385" s="65" t="s">
        <v>77</v>
      </c>
      <c r="S385" s="137" t="s">
        <v>105</v>
      </c>
      <c r="T385" s="139" t="s">
        <v>106</v>
      </c>
      <c r="U385" s="12" t="s">
        <v>98</v>
      </c>
      <c r="V385" s="13" t="s">
        <v>100</v>
      </c>
      <c r="W385" s="13" t="s">
        <v>33</v>
      </c>
      <c r="X385" s="13" t="s">
        <v>69</v>
      </c>
      <c r="Y385" s="13"/>
      <c r="Z385" s="13"/>
      <c r="AA385" s="18"/>
      <c r="AB385" s="13" t="s">
        <v>72</v>
      </c>
      <c r="AC385" s="13" t="s">
        <v>104</v>
      </c>
      <c r="AD385" s="13"/>
      <c r="AE385" s="65" t="s">
        <v>77</v>
      </c>
      <c r="AF385" s="137" t="s">
        <v>105</v>
      </c>
      <c r="AG385" s="139" t="s">
        <v>106</v>
      </c>
      <c r="AH385" s="12" t="s">
        <v>98</v>
      </c>
      <c r="AI385" s="13" t="s">
        <v>100</v>
      </c>
      <c r="AJ385" s="13" t="s">
        <v>34</v>
      </c>
      <c r="AK385" s="13" t="s">
        <v>69</v>
      </c>
      <c r="AL385" s="18"/>
      <c r="AM385" s="13" t="s">
        <v>72</v>
      </c>
      <c r="AN385" s="13" t="s">
        <v>104</v>
      </c>
      <c r="AO385" s="13"/>
      <c r="AP385" s="65" t="s">
        <v>77</v>
      </c>
      <c r="AQ385" s="137" t="s">
        <v>105</v>
      </c>
      <c r="AR385" s="139" t="s">
        <v>106</v>
      </c>
      <c r="AS385" s="12" t="s">
        <v>98</v>
      </c>
      <c r="AT385" s="13" t="s">
        <v>100</v>
      </c>
      <c r="AU385" s="13" t="s">
        <v>34</v>
      </c>
      <c r="AV385" s="13" t="s">
        <v>69</v>
      </c>
      <c r="AW385" s="18"/>
      <c r="AX385" s="13" t="s">
        <v>72</v>
      </c>
      <c r="AY385" s="13" t="s">
        <v>104</v>
      </c>
      <c r="AZ385" s="13"/>
      <c r="BA385" s="65" t="s">
        <v>77</v>
      </c>
      <c r="BB385" s="137" t="s">
        <v>105</v>
      </c>
      <c r="BC385" s="139" t="s">
        <v>106</v>
      </c>
      <c r="BD385" s="12" t="s">
        <v>98</v>
      </c>
      <c r="BE385" s="13" t="s">
        <v>100</v>
      </c>
      <c r="BF385" s="13" t="s">
        <v>34</v>
      </c>
      <c r="BG385" s="13" t="s">
        <v>69</v>
      </c>
      <c r="BH385" s="18"/>
      <c r="BI385" s="19"/>
      <c r="BJ385" s="12"/>
      <c r="BK385" s="227"/>
      <c r="BL385" s="349"/>
      <c r="BM385" s="12"/>
      <c r="BN385" s="285"/>
      <c r="BO385" s="15"/>
    </row>
    <row r="386" spans="1:67" x14ac:dyDescent="0.25">
      <c r="A386" s="145"/>
      <c r="B386" s="12"/>
      <c r="C386" s="115"/>
      <c r="D386" s="12"/>
      <c r="E386" s="128">
        <f>E382</f>
        <v>0</v>
      </c>
      <c r="F386" s="19">
        <f>IF($D$4=2025,1,0)</f>
        <v>0</v>
      </c>
      <c r="G386" s="178">
        <f>IF($B407="Yes",$C$5,$I406)</f>
        <v>12</v>
      </c>
      <c r="H386" s="36">
        <f>H369</f>
        <v>3</v>
      </c>
      <c r="I386" s="138">
        <f>VLOOKUP(J369,'Lookup Tables'!$AB$22:$AC$31,2,FALSE)</f>
        <v>32</v>
      </c>
      <c r="J386" s="140">
        <f>VLOOKUP(U369,'Lookup Tables'!$AB$32:$AC$41,2,FALSE)</f>
        <v>33</v>
      </c>
      <c r="K386" s="123">
        <f>E386-J386</f>
        <v>-33</v>
      </c>
      <c r="L386" s="12">
        <f>IF(K386&gt;0,1,0)</f>
        <v>0</v>
      </c>
      <c r="M386" s="119">
        <f>M369</f>
        <v>0</v>
      </c>
      <c r="N386" s="15">
        <f>((((('Rate Tables'!E85*9)*0.02778)/5)*K386)*L386)*F386*M386*BK382</f>
        <v>0</v>
      </c>
      <c r="O386" s="28">
        <f>O369</f>
        <v>12</v>
      </c>
      <c r="P386" s="8">
        <f>IF(O386&lt;0,O386*0,1)*O386</f>
        <v>12</v>
      </c>
      <c r="Q386" s="123">
        <f>(E386-K386*F386*L386*M386)</f>
        <v>0</v>
      </c>
      <c r="R386" s="36">
        <f>S369</f>
        <v>3</v>
      </c>
      <c r="S386" s="138">
        <f>VLOOKUP(U369,'Lookup Tables'!$AB$22:$AC$31,2,FALSE)</f>
        <v>32</v>
      </c>
      <c r="T386" s="140">
        <f>VLOOKUP(AF369,'Lookup Tables'!$AB$32:$AC$41,2,FALSE)</f>
        <v>33</v>
      </c>
      <c r="U386" s="129">
        <f>Q386-T386</f>
        <v>-33</v>
      </c>
      <c r="V386" s="12">
        <f>IF(U386&gt;0,1,0)</f>
        <v>0</v>
      </c>
      <c r="W386" s="15">
        <f>((('Rate Tables'!F85*9)*0.02778)/5)*U386*F386*V386*BK382</f>
        <v>0</v>
      </c>
      <c r="X386" s="8">
        <f>AA369</f>
        <v>2</v>
      </c>
      <c r="Y386" s="12"/>
      <c r="Z386" s="119"/>
      <c r="AA386" s="18"/>
      <c r="AB386" s="8">
        <f>IF(X386&lt;0,X386*0,1)*X386</f>
        <v>2</v>
      </c>
      <c r="AC386" s="123">
        <f>Q386-(U386*V386)</f>
        <v>0</v>
      </c>
      <c r="AD386" s="12"/>
      <c r="AE386" s="36">
        <f>AE369</f>
        <v>1</v>
      </c>
      <c r="AF386" s="138">
        <f>VLOOKUP(AF369,'Lookup Tables'!$AB$22:$AC$31,2,FALSE)</f>
        <v>32</v>
      </c>
      <c r="AG386" s="140">
        <f>VLOOKUP(AQ369,'Lookup Tables'!$AB$32:$AC$41,2,FALSE)</f>
        <v>0</v>
      </c>
      <c r="AH386" s="125">
        <f>AC386-AG386</f>
        <v>0</v>
      </c>
      <c r="AI386" s="12">
        <f>IF(AH386&gt;0,1,0)</f>
        <v>0</v>
      </c>
      <c r="AJ386" s="15">
        <f>((('Rate Tables'!G85*9)*0.02778)/5)*AH386*AI386*F386*BK382</f>
        <v>0</v>
      </c>
      <c r="AK386" s="8">
        <f>AL369</f>
        <v>0</v>
      </c>
      <c r="AL386" s="18"/>
      <c r="AM386" s="8">
        <f>IF(AK386&lt;0,AK386*0,1)*AK386</f>
        <v>0</v>
      </c>
      <c r="AN386" s="123">
        <f>AC386-(AH386*AI386)</f>
        <v>0</v>
      </c>
      <c r="AO386" s="12"/>
      <c r="AP386" s="36">
        <f>AP369</f>
        <v>3</v>
      </c>
      <c r="AQ386" s="138">
        <f>VLOOKUP(AQ369,'Lookup Tables'!$AB$22:$AC$31,2,FALSE)</f>
        <v>0</v>
      </c>
      <c r="AR386" s="140">
        <f>VLOOKUP(BB369,'Lookup Tables'!$AB$32:$AC$41,2,FALSE)</f>
        <v>0</v>
      </c>
      <c r="AS386" s="125">
        <f>AN386-AR386</f>
        <v>0</v>
      </c>
      <c r="AT386" s="12">
        <f>IF(AS386&gt;0,1,0)</f>
        <v>0</v>
      </c>
      <c r="AU386" s="15">
        <f>((('Rate Tables'!H85*9)*0.02778)/5)*AS386*AT386*F386*BK382</f>
        <v>0</v>
      </c>
      <c r="AV386" s="8">
        <f>AW369</f>
        <v>0</v>
      </c>
      <c r="AW386" s="18"/>
      <c r="AX386" s="8">
        <f>IF(AV386&lt;0,AV386*0,1)*AV386</f>
        <v>0</v>
      </c>
      <c r="AY386" s="123">
        <f>AN386-(AS386*AT386)</f>
        <v>0</v>
      </c>
      <c r="AZ386" s="12"/>
      <c r="BA386" s="36">
        <f>BA369</f>
        <v>3</v>
      </c>
      <c r="BB386" s="138">
        <f>VLOOKUP(BB369,'Lookup Tables'!$AB$22:$AC$31,2,FALSE)</f>
        <v>0</v>
      </c>
      <c r="BC386" s="140">
        <v>0</v>
      </c>
      <c r="BD386" s="125">
        <f>AY386-BC386</f>
        <v>0</v>
      </c>
      <c r="BE386" s="12">
        <f>IF(BD386&gt;0,1,0)</f>
        <v>0</v>
      </c>
      <c r="BF386" s="15">
        <f>((('Rate Tables'!I85*9)*0.02778)/5)*BD386*BE386*F386*BK382</f>
        <v>0</v>
      </c>
      <c r="BG386" s="8">
        <f>BH369</f>
        <v>0</v>
      </c>
      <c r="BH386" s="18"/>
      <c r="BI386" s="19"/>
      <c r="BJ386" s="12"/>
      <c r="BK386" s="227"/>
      <c r="BL386" s="349"/>
      <c r="BM386" s="12"/>
      <c r="BN386" s="285"/>
      <c r="BO386" s="15"/>
    </row>
    <row r="387" spans="1:67" x14ac:dyDescent="0.25">
      <c r="A387" s="145"/>
      <c r="B387" s="12"/>
      <c r="C387" s="743"/>
      <c r="D387" s="12"/>
      <c r="E387" s="12"/>
      <c r="F387" s="12"/>
      <c r="G387" s="12"/>
      <c r="H387" s="12"/>
      <c r="I387" s="12" t="s">
        <v>641</v>
      </c>
      <c r="J387" s="12" t="s">
        <v>642</v>
      </c>
      <c r="K387" s="12" t="s">
        <v>164</v>
      </c>
      <c r="L387" s="13" t="s">
        <v>165</v>
      </c>
      <c r="M387" s="608" t="s">
        <v>128</v>
      </c>
      <c r="N387" s="147" t="s">
        <v>129</v>
      </c>
      <c r="O387" s="135" t="s">
        <v>130</v>
      </c>
      <c r="P387" s="12"/>
      <c r="Q387" s="12"/>
      <c r="R387" s="12"/>
      <c r="S387" s="12"/>
      <c r="T387" s="12"/>
      <c r="U387" s="12"/>
      <c r="V387" s="12" t="s">
        <v>166</v>
      </c>
      <c r="W387" s="12" t="s">
        <v>163</v>
      </c>
      <c r="X387" s="13" t="s">
        <v>165</v>
      </c>
      <c r="Y387" s="650" t="s">
        <v>128</v>
      </c>
      <c r="Z387" s="13" t="s">
        <v>129</v>
      </c>
      <c r="AA387" s="135" t="s">
        <v>130</v>
      </c>
      <c r="AB387" s="12"/>
      <c r="AC387" s="12"/>
      <c r="AD387" s="12"/>
      <c r="AE387" s="12"/>
      <c r="AF387" s="12"/>
      <c r="AG387" s="12" t="s">
        <v>166</v>
      </c>
      <c r="AH387" s="12" t="s">
        <v>163</v>
      </c>
      <c r="AI387" s="13" t="s">
        <v>165</v>
      </c>
      <c r="AJ387" s="650" t="s">
        <v>128</v>
      </c>
      <c r="AK387" s="13" t="s">
        <v>129</v>
      </c>
      <c r="AL387" s="135" t="s">
        <v>130</v>
      </c>
      <c r="AM387" s="11"/>
      <c r="AN387" s="13"/>
      <c r="AO387" s="13"/>
      <c r="AP387" s="13"/>
      <c r="AQ387" s="13"/>
      <c r="AR387" s="12" t="s">
        <v>166</v>
      </c>
      <c r="AS387" s="12" t="s">
        <v>163</v>
      </c>
      <c r="AT387" s="13" t="s">
        <v>165</v>
      </c>
      <c r="AU387" s="650" t="s">
        <v>128</v>
      </c>
      <c r="AV387" s="13" t="s">
        <v>129</v>
      </c>
      <c r="AW387" s="135" t="s">
        <v>130</v>
      </c>
      <c r="AX387" s="153"/>
      <c r="AY387" s="153"/>
      <c r="AZ387" s="153"/>
      <c r="BA387" s="153"/>
      <c r="BB387" s="153"/>
      <c r="BC387" s="12" t="s">
        <v>166</v>
      </c>
      <c r="BD387" s="12" t="s">
        <v>163</v>
      </c>
      <c r="BE387" s="13" t="s">
        <v>165</v>
      </c>
      <c r="BF387" s="650" t="s">
        <v>128</v>
      </c>
      <c r="BG387" s="13" t="s">
        <v>129</v>
      </c>
      <c r="BH387" s="135" t="s">
        <v>130</v>
      </c>
      <c r="BI387" s="13" t="s">
        <v>159</v>
      </c>
      <c r="BJ387" s="12"/>
      <c r="BK387" s="227"/>
      <c r="BL387" s="350"/>
      <c r="BM387" s="12"/>
      <c r="BN387" s="285"/>
      <c r="BO387" s="15"/>
    </row>
    <row r="388" spans="1:67" x14ac:dyDescent="0.25">
      <c r="A388" s="145"/>
      <c r="B388" s="12"/>
      <c r="C388" s="114"/>
      <c r="D388" s="12"/>
      <c r="E388" s="12"/>
      <c r="F388" s="12"/>
      <c r="G388" s="12"/>
      <c r="H388" s="12"/>
      <c r="I388" s="12">
        <f>G363</f>
        <v>12</v>
      </c>
      <c r="J388" s="125">
        <f>BK372</f>
        <v>9</v>
      </c>
      <c r="K388" s="758">
        <f>I388-J388</f>
        <v>3</v>
      </c>
      <c r="L388" s="123">
        <f>V388</f>
        <v>0</v>
      </c>
      <c r="M388" s="609">
        <f>IF(M392&lt;=0,0,ROUNDUP(M392,0))</f>
        <v>3</v>
      </c>
      <c r="N388" s="161">
        <f>'Rate Tables'!$P$17</f>
        <v>910</v>
      </c>
      <c r="O388" s="136">
        <f>(M388*N388)*F380*M380</f>
        <v>0</v>
      </c>
      <c r="P388" s="12"/>
      <c r="Q388" s="12"/>
      <c r="R388" s="12"/>
      <c r="S388" s="12"/>
      <c r="T388" s="12"/>
      <c r="U388" s="12"/>
      <c r="V388" s="12">
        <f>VLOOKUP((U380*V380),'Lookup Tables'!$E$38:$F$103,2,0)</f>
        <v>0</v>
      </c>
      <c r="W388" s="12">
        <f>K388-(M388*M380)</f>
        <v>3</v>
      </c>
      <c r="X388" s="119">
        <f>AG388</f>
        <v>0</v>
      </c>
      <c r="Y388" s="609">
        <f>IF(Y392&lt;=0,0,ROUNDUP(Y392,0))</f>
        <v>3</v>
      </c>
      <c r="Z388" s="129">
        <f>'Rate Tables'!$P$18</f>
        <v>910</v>
      </c>
      <c r="AA388" s="136">
        <f>Y388*Z388*F380*V380</f>
        <v>0</v>
      </c>
      <c r="AB388" s="12"/>
      <c r="AC388" s="12"/>
      <c r="AD388" s="12"/>
      <c r="AE388" s="12"/>
      <c r="AF388" s="12"/>
      <c r="AG388" s="12">
        <f>VLOOKUP(AH380,'Lookup Tables'!$E$38:$F$103,2,0)</f>
        <v>0</v>
      </c>
      <c r="AH388" s="125">
        <f>W388-(Y388*V380)</f>
        <v>3</v>
      </c>
      <c r="AI388" s="119">
        <f>AR388</f>
        <v>0</v>
      </c>
      <c r="AJ388" s="609">
        <f>IF(AJ392&lt;=0,0,ROUNDUP(AJ392,0))</f>
        <v>3</v>
      </c>
      <c r="AK388" s="129">
        <f>'Rate Tables'!$P$19</f>
        <v>910</v>
      </c>
      <c r="AL388" s="136">
        <f>AJ388*AK388*F380*AI380</f>
        <v>0</v>
      </c>
      <c r="AM388" s="11"/>
      <c r="AN388" s="19"/>
      <c r="AO388" s="19"/>
      <c r="AP388" s="19"/>
      <c r="AQ388" s="19"/>
      <c r="AR388" s="12">
        <f>VLOOKUP((AS380*AT380),'Lookup Tables'!$E$38:$F$103,2,0)</f>
        <v>0</v>
      </c>
      <c r="AS388" s="125">
        <f>AH388-(AJ388*AI380)</f>
        <v>3</v>
      </c>
      <c r="AT388" s="119">
        <f>BC388</f>
        <v>0</v>
      </c>
      <c r="AU388" s="609">
        <f>IF(AU392&lt;=0,0,ROUNDUP(AU392,0))</f>
        <v>3</v>
      </c>
      <c r="AV388" s="129">
        <f>'Rate Tables'!$P$20</f>
        <v>928.2</v>
      </c>
      <c r="AW388" s="136">
        <f>AU388*AV388*F380*AT380</f>
        <v>0</v>
      </c>
      <c r="AX388" s="125"/>
      <c r="AY388" s="125"/>
      <c r="AZ388" s="125"/>
      <c r="BA388" s="125"/>
      <c r="BB388" s="125"/>
      <c r="BC388" s="12">
        <f>VLOOKUP((BD380*BE380),'Lookup Tables'!$E$38:$F$103,2,0)</f>
        <v>0</v>
      </c>
      <c r="BD388" s="125">
        <f>AS388-(AU388*AT380)</f>
        <v>3</v>
      </c>
      <c r="BE388" s="119">
        <v>0</v>
      </c>
      <c r="BF388" s="609">
        <f>IF(BF392&lt;=0,0,ROUNDUP(BF392,0))</f>
        <v>3</v>
      </c>
      <c r="BG388" s="129">
        <f>'Rate Tables'!$P$21</f>
        <v>946.76</v>
      </c>
      <c r="BH388" s="136">
        <f>BF388*BG388*F380*BE380</f>
        <v>0</v>
      </c>
      <c r="BI388" s="19">
        <f>VLOOKUP(B359,'Lookup Tables'!$AK$22:$AM$24,2,0)</f>
        <v>0</v>
      </c>
      <c r="BJ388" s="12"/>
      <c r="BK388" s="307"/>
      <c r="BL388" s="358"/>
      <c r="BM388" s="12"/>
      <c r="BN388" s="285"/>
      <c r="BO388" s="15"/>
    </row>
    <row r="389" spans="1:67" x14ac:dyDescent="0.25">
      <c r="A389" s="145"/>
      <c r="B389" s="12"/>
      <c r="C389" s="114"/>
      <c r="D389" s="12"/>
      <c r="E389" s="12"/>
      <c r="F389" s="12"/>
      <c r="G389" s="12"/>
      <c r="H389" s="12"/>
      <c r="I389" s="12">
        <f>G365</f>
        <v>12</v>
      </c>
      <c r="J389" s="125">
        <f>J388</f>
        <v>9</v>
      </c>
      <c r="K389" s="758">
        <f>I389-J389</f>
        <v>3</v>
      </c>
      <c r="L389" s="123">
        <f>V389</f>
        <v>0</v>
      </c>
      <c r="M389" s="609">
        <f>IF(M393&lt;=0,0,ROUNDUP(M393,0))</f>
        <v>3</v>
      </c>
      <c r="N389" s="161">
        <f>'Rate Tables'!$P$18</f>
        <v>910</v>
      </c>
      <c r="O389" s="136">
        <f>(M389*N389)*F382*M382</f>
        <v>0</v>
      </c>
      <c r="P389" s="12"/>
      <c r="Q389" s="12"/>
      <c r="R389" s="12"/>
      <c r="S389" s="12"/>
      <c r="T389" s="12"/>
      <c r="U389" s="12"/>
      <c r="V389" s="12">
        <f>VLOOKUP((U382*V382),'Lookup Tables'!$E$38:$F$103,2,0)</f>
        <v>0</v>
      </c>
      <c r="W389" s="12">
        <f>K389-(M389*M382)</f>
        <v>3</v>
      </c>
      <c r="X389" s="119">
        <f>AG389</f>
        <v>0</v>
      </c>
      <c r="Y389" s="609">
        <f>IF(Y393&lt;=0,0,ROUNDUP(Y393,0))</f>
        <v>3</v>
      </c>
      <c r="Z389" s="129">
        <f>'Rate Tables'!$P$19</f>
        <v>910</v>
      </c>
      <c r="AA389" s="136">
        <f>Y389*Z389*F382*V382</f>
        <v>0</v>
      </c>
      <c r="AB389" s="12"/>
      <c r="AC389" s="12"/>
      <c r="AD389" s="12"/>
      <c r="AE389" s="12"/>
      <c r="AF389" s="12"/>
      <c r="AG389" s="12">
        <f>VLOOKUP(AH382,'Lookup Tables'!$E$38:$F$103,2,0)</f>
        <v>0</v>
      </c>
      <c r="AH389" s="125">
        <f>W389-(Y389*V382)</f>
        <v>3</v>
      </c>
      <c r="AI389" s="119">
        <f>AR389</f>
        <v>0</v>
      </c>
      <c r="AJ389" s="609">
        <f>IF(AJ393&lt;=0,0,ROUNDUP(AJ393,0))</f>
        <v>3</v>
      </c>
      <c r="AK389" s="129">
        <f>'Rate Tables'!$P$20</f>
        <v>928.2</v>
      </c>
      <c r="AL389" s="136">
        <f>AJ389*AK389*F382*AI382</f>
        <v>0</v>
      </c>
      <c r="AM389" s="11"/>
      <c r="AN389" s="19"/>
      <c r="AO389" s="19"/>
      <c r="AP389" s="19"/>
      <c r="AQ389" s="19"/>
      <c r="AR389" s="12">
        <f>VLOOKUP((AS382*AT382),'Lookup Tables'!$E$38:$F$103,2,0)</f>
        <v>0</v>
      </c>
      <c r="AS389" s="125">
        <f>AH389-(AJ389*AI382)</f>
        <v>3</v>
      </c>
      <c r="AT389" s="119">
        <f>BC389</f>
        <v>0</v>
      </c>
      <c r="AU389" s="609">
        <f>IF(AU393&lt;=0,0,ROUNDUP(AU393,0))</f>
        <v>3</v>
      </c>
      <c r="AV389" s="129">
        <f>'Rate Tables'!$P$21</f>
        <v>946.76</v>
      </c>
      <c r="AW389" s="737">
        <f>AU389*AV389*F382*AT382</f>
        <v>0</v>
      </c>
      <c r="AX389" s="15"/>
      <c r="AY389" s="15"/>
      <c r="AZ389" s="15"/>
      <c r="BA389" s="15"/>
      <c r="BB389" s="15"/>
      <c r="BC389" s="12">
        <f>VLOOKUP((BD382*BE382),'Lookup Tables'!$E$38:$F$103,2,0)</f>
        <v>0</v>
      </c>
      <c r="BD389" s="125">
        <f>AS389-(AU389*AT382)</f>
        <v>3</v>
      </c>
      <c r="BE389" s="119">
        <v>0</v>
      </c>
      <c r="BF389" s="609">
        <f>IF(BF393&lt;=0,0,ROUNDUP(BF393,0))</f>
        <v>3</v>
      </c>
      <c r="BG389" s="129">
        <f>'Rate Tables'!$P$22</f>
        <v>965.7</v>
      </c>
      <c r="BH389" s="737">
        <f>BF389*BG389*F382*BE382</f>
        <v>0</v>
      </c>
      <c r="BI389" s="19"/>
      <c r="BJ389" s="12"/>
      <c r="BK389" s="307"/>
      <c r="BL389" s="349"/>
      <c r="BM389" s="12"/>
      <c r="BN389" s="285"/>
      <c r="BO389" s="15"/>
    </row>
    <row r="390" spans="1:67" x14ac:dyDescent="0.25">
      <c r="A390" s="145"/>
      <c r="B390" s="12"/>
      <c r="C390" s="114"/>
      <c r="D390" s="12"/>
      <c r="E390" s="12"/>
      <c r="F390" s="12"/>
      <c r="G390" s="11"/>
      <c r="H390" s="12"/>
      <c r="I390" s="12">
        <f>G367</f>
        <v>12</v>
      </c>
      <c r="J390" s="125">
        <f>J389</f>
        <v>9</v>
      </c>
      <c r="K390" s="758">
        <f>I390-J390</f>
        <v>3</v>
      </c>
      <c r="L390" s="123">
        <f>V390</f>
        <v>0</v>
      </c>
      <c r="M390" s="609">
        <f>IF(M394&lt;=0,0,ROUNDUP(M394,0))</f>
        <v>3</v>
      </c>
      <c r="N390" s="161">
        <f>'Rate Tables'!$P$19</f>
        <v>910</v>
      </c>
      <c r="O390" s="136">
        <f>(M390*N390)*F384*M384</f>
        <v>0</v>
      </c>
      <c r="P390" s="12"/>
      <c r="Q390" s="12"/>
      <c r="R390" s="12"/>
      <c r="S390" s="12"/>
      <c r="T390" s="12"/>
      <c r="U390" s="12"/>
      <c r="V390" s="12">
        <f>VLOOKUP((U384*V384),'Lookup Tables'!$E$38:$F$103,2,0)</f>
        <v>0</v>
      </c>
      <c r="W390" s="12">
        <f>K390-(M390*M384)</f>
        <v>3</v>
      </c>
      <c r="X390" s="119">
        <f>AG390</f>
        <v>0</v>
      </c>
      <c r="Y390" s="609">
        <f>IF(Y394&lt;=0,0,ROUNDUP(Y394,0))</f>
        <v>3</v>
      </c>
      <c r="Z390" s="129">
        <f>'Rate Tables'!$P$20</f>
        <v>928.2</v>
      </c>
      <c r="AA390" s="736">
        <f>Y390*Z390*F384*V384</f>
        <v>0</v>
      </c>
      <c r="AB390" s="12"/>
      <c r="AC390" s="12"/>
      <c r="AD390" s="12"/>
      <c r="AE390" s="12"/>
      <c r="AF390" s="12"/>
      <c r="AG390" s="12">
        <f>VLOOKUP(AH384,'Lookup Tables'!$E$38:$F$103,2,0)</f>
        <v>0</v>
      </c>
      <c r="AH390" s="125">
        <f>W390-(Y390*V384)</f>
        <v>3</v>
      </c>
      <c r="AI390" s="119">
        <f>AR390</f>
        <v>0</v>
      </c>
      <c r="AJ390" s="609">
        <f>IF(AJ394&lt;=0,0,ROUNDUP(AJ394,0))</f>
        <v>3</v>
      </c>
      <c r="AK390" s="129">
        <f>'Rate Tables'!$P$21</f>
        <v>946.76</v>
      </c>
      <c r="AL390" s="136">
        <f>AJ390*AK390*F384*AI384</f>
        <v>0</v>
      </c>
      <c r="AM390" s="11"/>
      <c r="AN390" s="19"/>
      <c r="AO390" s="19"/>
      <c r="AP390" s="19"/>
      <c r="AQ390" s="19"/>
      <c r="AR390" s="12">
        <f>VLOOKUP((AS384*AT384),'Lookup Tables'!$E$38:$F$103,2,0)</f>
        <v>0</v>
      </c>
      <c r="AS390" s="123">
        <f>AH390-(AJ390*AI384)</f>
        <v>3</v>
      </c>
      <c r="AT390" s="119">
        <f>BC390</f>
        <v>0</v>
      </c>
      <c r="AU390" s="609">
        <f>IF(AU394&lt;=0,0,ROUNDUP(AU394,0))</f>
        <v>3</v>
      </c>
      <c r="AV390" s="129">
        <f>'Rate Tables'!$P$22</f>
        <v>965.7</v>
      </c>
      <c r="AW390" s="136">
        <f>AU390*AV390*F384*AT384</f>
        <v>0</v>
      </c>
      <c r="AX390" s="125"/>
      <c r="AY390" s="125"/>
      <c r="AZ390" s="125"/>
      <c r="BA390" s="125"/>
      <c r="BB390" s="125"/>
      <c r="BC390" s="12">
        <f>VLOOKUP((BD384*BE384),'Lookup Tables'!$E$38:$F$103,2,0)</f>
        <v>0</v>
      </c>
      <c r="BD390" s="123">
        <f>AS390-(AU390*AT384)</f>
        <v>3</v>
      </c>
      <c r="BE390" s="119">
        <v>0</v>
      </c>
      <c r="BF390" s="609">
        <f>IF(BF394&lt;=0,0,ROUNDUP(BF394,0))</f>
        <v>3</v>
      </c>
      <c r="BG390" s="129">
        <f>'Rate Tables'!$P$23</f>
        <v>985.01</v>
      </c>
      <c r="BH390" s="136">
        <f>BF390*BG390*F384*BE384</f>
        <v>0</v>
      </c>
      <c r="BI390" s="19"/>
      <c r="BJ390" s="12"/>
      <c r="BK390" s="307"/>
      <c r="BL390" s="349"/>
      <c r="BM390" s="12"/>
      <c r="BN390" s="285"/>
      <c r="BO390" s="15"/>
    </row>
    <row r="391" spans="1:67" x14ac:dyDescent="0.25">
      <c r="A391" s="145"/>
      <c r="B391" s="12"/>
      <c r="C391" s="114"/>
      <c r="D391" s="12"/>
      <c r="E391" s="12"/>
      <c r="F391" s="12"/>
      <c r="G391" s="11"/>
      <c r="H391" s="12"/>
      <c r="I391" s="12">
        <f>G369</f>
        <v>12</v>
      </c>
      <c r="J391" s="125">
        <f>J390</f>
        <v>9</v>
      </c>
      <c r="K391" s="758">
        <f>I391-J391</f>
        <v>3</v>
      </c>
      <c r="L391" s="123">
        <f>V391</f>
        <v>0</v>
      </c>
      <c r="M391" s="609">
        <f>IF(M395&lt;=0,0,ROUNDUP(M395,0))</f>
        <v>3</v>
      </c>
      <c r="N391" s="161">
        <f>'Rate Tables'!$P$20</f>
        <v>928.2</v>
      </c>
      <c r="O391" s="136">
        <f>(M391*N391)*F386*M386</f>
        <v>0</v>
      </c>
      <c r="P391" s="12"/>
      <c r="Q391" s="12"/>
      <c r="R391" s="12"/>
      <c r="S391" s="12"/>
      <c r="T391" s="12"/>
      <c r="U391" s="12"/>
      <c r="V391" s="12">
        <f>VLOOKUP((U386*V386),'Lookup Tables'!$E$38:$F$103,2,0)</f>
        <v>0</v>
      </c>
      <c r="W391" s="12">
        <f>K391-(M391*M386)</f>
        <v>3</v>
      </c>
      <c r="X391" s="119">
        <f>AG391</f>
        <v>0</v>
      </c>
      <c r="Y391" s="609">
        <f>IF(Y395&lt;=0,0,ROUNDUP(Y395,0))</f>
        <v>3</v>
      </c>
      <c r="Z391" s="129">
        <f>'Rate Tables'!$P$21</f>
        <v>946.76</v>
      </c>
      <c r="AA391" s="736">
        <f>Y391*Z391*F386*V386</f>
        <v>0</v>
      </c>
      <c r="AB391" s="12"/>
      <c r="AC391" s="12"/>
      <c r="AD391" s="12"/>
      <c r="AE391" s="12"/>
      <c r="AF391" s="12"/>
      <c r="AG391" s="12">
        <f>VLOOKUP(AH386,'Lookup Tables'!$E$38:$F$103,2,0)</f>
        <v>0</v>
      </c>
      <c r="AH391" s="125">
        <f>W391-(Y391*V386)</f>
        <v>3</v>
      </c>
      <c r="AI391" s="119">
        <f>AR391</f>
        <v>0</v>
      </c>
      <c r="AJ391" s="609">
        <f>IF(AJ395&lt;=0,0,ROUNDUP(AJ395,0))</f>
        <v>3</v>
      </c>
      <c r="AK391" s="129">
        <f>'Rate Tables'!$P$22</f>
        <v>965.7</v>
      </c>
      <c r="AL391" s="136">
        <f>AJ391*AK391*F386*AI386</f>
        <v>0</v>
      </c>
      <c r="AM391" s="11"/>
      <c r="AN391" s="19"/>
      <c r="AO391" s="19"/>
      <c r="AP391" s="19"/>
      <c r="AQ391" s="19"/>
      <c r="AR391" s="12">
        <f>VLOOKUP((AS386*AT386),'Lookup Tables'!$E$38:$F$103,2,0)</f>
        <v>0</v>
      </c>
      <c r="AS391" s="123">
        <f>AH391-(AJ391*AI386)</f>
        <v>3</v>
      </c>
      <c r="AT391" s="119">
        <f>BC391</f>
        <v>0</v>
      </c>
      <c r="AU391" s="609">
        <f>IF(AU395&lt;=0,0,ROUNDUP(AU395,0))</f>
        <v>3</v>
      </c>
      <c r="AV391" s="129">
        <f>'Rate Tables'!$P$23</f>
        <v>985.01</v>
      </c>
      <c r="AW391" s="136">
        <f>AU391*AV391*F386*AT386</f>
        <v>0</v>
      </c>
      <c r="AX391" s="125"/>
      <c r="AY391" s="125"/>
      <c r="AZ391" s="125"/>
      <c r="BA391" s="125"/>
      <c r="BB391" s="125"/>
      <c r="BC391" s="12">
        <f>VLOOKUP((BD386*BE386),'Lookup Tables'!$E$38:$F$103,2,0)</f>
        <v>0</v>
      </c>
      <c r="BD391" s="123">
        <f>AS391-(AU391*AT386)</f>
        <v>3</v>
      </c>
      <c r="BE391" s="119">
        <v>0</v>
      </c>
      <c r="BF391" s="609">
        <f>IF(BF395&lt;=0,0,ROUNDUP(BF395,0))</f>
        <v>3</v>
      </c>
      <c r="BG391" s="129">
        <f>'Rate Tables'!$P$24</f>
        <v>1004.71</v>
      </c>
      <c r="BH391" s="736">
        <f>BF391*BG391*F386*BE386</f>
        <v>0</v>
      </c>
      <c r="BI391" s="19"/>
      <c r="BJ391" s="12"/>
      <c r="BK391" s="307"/>
      <c r="BL391" s="349"/>
      <c r="BM391" s="12"/>
      <c r="BN391" s="285"/>
      <c r="BO391" s="15"/>
    </row>
    <row r="392" spans="1:67" x14ac:dyDescent="0.25">
      <c r="A392" s="145"/>
      <c r="B392" s="12"/>
      <c r="C392" s="114"/>
      <c r="D392" s="12"/>
      <c r="E392" s="12"/>
      <c r="F392" s="12"/>
      <c r="G392" s="11"/>
      <c r="H392" s="12"/>
      <c r="I392" s="12"/>
      <c r="J392" s="125"/>
      <c r="K392" s="758"/>
      <c r="L392" s="123"/>
      <c r="M392" s="648">
        <f>K388-L388</f>
        <v>3</v>
      </c>
      <c r="N392" s="129"/>
      <c r="O392" s="125"/>
      <c r="P392" s="12"/>
      <c r="Q392" s="12"/>
      <c r="R392" s="12"/>
      <c r="S392" s="12"/>
      <c r="T392" s="12"/>
      <c r="U392" s="12"/>
      <c r="V392" s="12"/>
      <c r="W392" s="12"/>
      <c r="X392" s="119"/>
      <c r="Y392" s="651">
        <f>W388-X388</f>
        <v>3</v>
      </c>
      <c r="Z392" s="129"/>
      <c r="AA392" s="834"/>
      <c r="AB392" s="12"/>
      <c r="AC392" s="12"/>
      <c r="AD392" s="12"/>
      <c r="AE392" s="12"/>
      <c r="AF392" s="12"/>
      <c r="AG392" s="12"/>
      <c r="AH392" s="125"/>
      <c r="AI392" s="119"/>
      <c r="AJ392" s="651">
        <f>AH388-AI388</f>
        <v>3</v>
      </c>
      <c r="AK392" s="129"/>
      <c r="AL392" s="125"/>
      <c r="AM392" s="11"/>
      <c r="AN392" s="19"/>
      <c r="AO392" s="19"/>
      <c r="AP392" s="19"/>
      <c r="AQ392" s="19"/>
      <c r="AR392" s="12"/>
      <c r="AS392" s="123"/>
      <c r="AT392" s="119"/>
      <c r="AU392" s="735">
        <f>AS388-AT388</f>
        <v>3</v>
      </c>
      <c r="AV392" s="129"/>
      <c r="AW392" s="125"/>
      <c r="AX392" s="125"/>
      <c r="AY392" s="125"/>
      <c r="AZ392" s="125"/>
      <c r="BA392" s="125"/>
      <c r="BB392" s="125"/>
      <c r="BC392" s="12"/>
      <c r="BD392" s="123"/>
      <c r="BE392" s="119"/>
      <c r="BF392" s="735">
        <f>BD388-BE388</f>
        <v>3</v>
      </c>
      <c r="BG392" s="129"/>
      <c r="BH392" s="125"/>
      <c r="BI392" s="19"/>
      <c r="BJ392" s="12"/>
      <c r="BK392" s="307"/>
      <c r="BL392" s="349"/>
      <c r="BM392" s="12"/>
      <c r="BN392" s="285"/>
      <c r="BO392" s="15"/>
    </row>
    <row r="393" spans="1:67" x14ac:dyDescent="0.25">
      <c r="A393" s="145"/>
      <c r="B393" s="12"/>
      <c r="C393" s="114"/>
      <c r="D393" s="12"/>
      <c r="E393" s="12"/>
      <c r="F393" s="12"/>
      <c r="G393" s="12"/>
      <c r="H393" s="12"/>
      <c r="I393" s="12"/>
      <c r="J393" s="12"/>
      <c r="K393" s="12"/>
      <c r="L393" s="123"/>
      <c r="M393" s="648">
        <f>K389-L389</f>
        <v>3</v>
      </c>
      <c r="N393" s="129"/>
      <c r="O393" s="125"/>
      <c r="P393" s="12"/>
      <c r="Q393" s="12"/>
      <c r="R393" s="12"/>
      <c r="S393" s="12"/>
      <c r="T393" s="12"/>
      <c r="U393" s="12"/>
      <c r="V393" s="12"/>
      <c r="W393" s="12"/>
      <c r="X393" s="119"/>
      <c r="Y393" s="651">
        <f>W389-X389</f>
        <v>3</v>
      </c>
      <c r="Z393" s="129"/>
      <c r="AA393" s="125"/>
      <c r="AB393" s="12"/>
      <c r="AC393" s="12"/>
      <c r="AD393" s="12"/>
      <c r="AE393" s="12"/>
      <c r="AF393" s="12"/>
      <c r="AG393" s="12"/>
      <c r="AH393" s="125"/>
      <c r="AI393" s="119"/>
      <c r="AJ393" s="651">
        <f>AH389-AI389</f>
        <v>3</v>
      </c>
      <c r="AK393" s="129"/>
      <c r="AL393" s="125"/>
      <c r="AM393" s="11"/>
      <c r="AN393" s="19"/>
      <c r="AO393" s="19"/>
      <c r="AP393" s="19"/>
      <c r="AQ393" s="19"/>
      <c r="AR393" s="12"/>
      <c r="AS393" s="123"/>
      <c r="AT393" s="119"/>
      <c r="AU393" s="735">
        <f>AS389-AT389</f>
        <v>3</v>
      </c>
      <c r="AV393" s="129"/>
      <c r="AW393" s="125"/>
      <c r="AX393" s="125"/>
      <c r="AY393" s="125"/>
      <c r="AZ393" s="125"/>
      <c r="BA393" s="125"/>
      <c r="BB393" s="125"/>
      <c r="BC393" s="12"/>
      <c r="BD393" s="123"/>
      <c r="BE393" s="119"/>
      <c r="BF393" s="735">
        <f>BD389-BE389</f>
        <v>3</v>
      </c>
      <c r="BG393" s="129"/>
      <c r="BH393" s="125"/>
      <c r="BI393" s="19"/>
      <c r="BJ393" s="12"/>
      <c r="BK393" s="307"/>
      <c r="BL393" s="349"/>
      <c r="BM393" s="12"/>
      <c r="BN393" s="285"/>
      <c r="BO393" s="15"/>
    </row>
    <row r="394" spans="1:67" ht="15.75" thickBot="1" x14ac:dyDescent="0.3">
      <c r="A394" s="145"/>
      <c r="B394" s="12"/>
      <c r="C394" s="114"/>
      <c r="D394" s="12"/>
      <c r="E394" s="12"/>
      <c r="F394" s="12"/>
      <c r="G394" s="12" t="s">
        <v>584</v>
      </c>
      <c r="H394" s="12"/>
      <c r="I394" s="12"/>
      <c r="J394" s="12"/>
      <c r="K394" s="12"/>
      <c r="L394" s="123"/>
      <c r="M394" s="648">
        <f>K390-L390</f>
        <v>3</v>
      </c>
      <c r="N394" s="129"/>
      <c r="O394" s="125"/>
      <c r="P394" s="12"/>
      <c r="Q394" s="12"/>
      <c r="R394" s="12"/>
      <c r="S394" s="12"/>
      <c r="T394" s="12"/>
      <c r="U394" s="12"/>
      <c r="V394" s="12"/>
      <c r="W394" s="12"/>
      <c r="X394" s="119"/>
      <c r="Y394" s="651">
        <f>W390-X390</f>
        <v>3</v>
      </c>
      <c r="Z394" s="129"/>
      <c r="AA394" s="125"/>
      <c r="AB394" s="12"/>
      <c r="AC394" s="12"/>
      <c r="AD394" s="12"/>
      <c r="AE394" s="12"/>
      <c r="AF394" s="12"/>
      <c r="AG394" s="12"/>
      <c r="AH394" s="125"/>
      <c r="AI394" s="119"/>
      <c r="AJ394" s="651">
        <f>AH390-AI390</f>
        <v>3</v>
      </c>
      <c r="AK394" s="129"/>
      <c r="AL394" s="125"/>
      <c r="AM394" s="11"/>
      <c r="AN394" s="19"/>
      <c r="AO394" s="19"/>
      <c r="AP394" s="19"/>
      <c r="AQ394" s="19"/>
      <c r="AR394" s="12"/>
      <c r="AS394" s="123"/>
      <c r="AT394" s="119"/>
      <c r="AU394" s="651">
        <f>AS390-AT390</f>
        <v>3</v>
      </c>
      <c r="AV394" s="129"/>
      <c r="AW394" s="125"/>
      <c r="AX394" s="125"/>
      <c r="AY394" s="125"/>
      <c r="AZ394" s="125"/>
      <c r="BA394" s="125"/>
      <c r="BB394" s="125"/>
      <c r="BC394" s="12"/>
      <c r="BD394" s="123"/>
      <c r="BE394" s="119"/>
      <c r="BF394" s="651">
        <f>BD390-BE390</f>
        <v>3</v>
      </c>
      <c r="BG394" s="129"/>
      <c r="BH394" s="125"/>
      <c r="BI394" s="829"/>
      <c r="BJ394" s="149"/>
      <c r="BK394" s="830"/>
      <c r="BL394" s="831"/>
      <c r="BM394" s="149"/>
      <c r="BN394" s="832"/>
      <c r="BO394" s="15"/>
    </row>
    <row r="395" spans="1:67" x14ac:dyDescent="0.25">
      <c r="A395" s="145"/>
      <c r="B395" s="162"/>
      <c r="C395" s="115">
        <f>(B361*12)*2</f>
        <v>0</v>
      </c>
      <c r="D395" s="115"/>
      <c r="E395" s="126"/>
      <c r="F395" s="126"/>
      <c r="G395" s="12"/>
      <c r="H395" s="12"/>
      <c r="I395" s="12"/>
      <c r="J395" s="12"/>
      <c r="K395" s="12"/>
      <c r="L395" s="12"/>
      <c r="M395" s="649">
        <f>K391-L391</f>
        <v>3</v>
      </c>
      <c r="N395" s="12"/>
      <c r="O395" s="12"/>
      <c r="P395" s="12"/>
      <c r="Q395" s="12"/>
      <c r="R395" s="12"/>
      <c r="S395" s="12"/>
      <c r="T395" s="12"/>
      <c r="U395" s="12"/>
      <c r="V395" s="12"/>
      <c r="W395" s="12"/>
      <c r="X395" s="12"/>
      <c r="Y395" s="652">
        <f>W391-X391</f>
        <v>3</v>
      </c>
      <c r="Z395" s="12"/>
      <c r="AA395" s="12"/>
      <c r="AB395" s="12"/>
      <c r="AC395" s="12"/>
      <c r="AD395" s="12"/>
      <c r="AE395" s="12"/>
      <c r="AF395" s="12"/>
      <c r="AG395" s="12"/>
      <c r="AH395" s="12"/>
      <c r="AI395" s="12"/>
      <c r="AJ395" s="652">
        <f>AH391-AI391</f>
        <v>3</v>
      </c>
      <c r="AK395" s="12"/>
      <c r="AL395" s="12"/>
      <c r="AM395" s="11"/>
      <c r="AN395" s="19"/>
      <c r="AO395" s="19"/>
      <c r="AP395" s="19"/>
      <c r="AQ395" s="19"/>
      <c r="AR395" s="12"/>
      <c r="AS395" s="125"/>
      <c r="AT395" s="119"/>
      <c r="AU395" s="652">
        <f>AS391-AT391</f>
        <v>3</v>
      </c>
      <c r="AV395" s="129"/>
      <c r="AW395" s="125"/>
      <c r="AX395" s="125"/>
      <c r="AY395" s="125"/>
      <c r="AZ395" s="125"/>
      <c r="BA395" s="125"/>
      <c r="BB395" s="125"/>
      <c r="BC395" s="12"/>
      <c r="BD395" s="125"/>
      <c r="BE395" s="119"/>
      <c r="BF395" s="652">
        <f>BD391-BE391</f>
        <v>3</v>
      </c>
      <c r="BG395" s="129"/>
      <c r="BH395" s="125"/>
      <c r="BI395" s="12"/>
      <c r="BJ395" s="12"/>
      <c r="BK395" s="306" t="s">
        <v>413</v>
      </c>
      <c r="BL395" s="828">
        <f>Personnel!W90</f>
        <v>0</v>
      </c>
      <c r="BM395" s="276" t="s">
        <v>416</v>
      </c>
      <c r="BN395" s="285">
        <f>(M397+M399+M401+M403+W397+W399+W401+W403+AI397+AI399+AI401+AI403+AT397+AT399+AT401+AT403+BE397+BE399+BE401+BE403)*BI397</f>
        <v>0</v>
      </c>
      <c r="BO395" s="15"/>
    </row>
    <row r="396" spans="1:67" x14ac:dyDescent="0.25">
      <c r="A396" s="145"/>
      <c r="B396" s="12"/>
      <c r="C396" s="117" t="s">
        <v>30</v>
      </c>
      <c r="D396" s="117"/>
      <c r="E396" s="13"/>
      <c r="F396" s="13" t="s">
        <v>42</v>
      </c>
      <c r="G396" s="13" t="s">
        <v>41</v>
      </c>
      <c r="H396" s="65" t="s">
        <v>77</v>
      </c>
      <c r="I396" s="150" t="s">
        <v>50</v>
      </c>
      <c r="J396" s="13" t="s">
        <v>52</v>
      </c>
      <c r="K396" s="13" t="s">
        <v>35</v>
      </c>
      <c r="L396" s="13" t="s">
        <v>82</v>
      </c>
      <c r="M396" s="13" t="s">
        <v>31</v>
      </c>
      <c r="N396" s="13" t="s">
        <v>69</v>
      </c>
      <c r="O396" s="12"/>
      <c r="P396" s="13" t="s">
        <v>72</v>
      </c>
      <c r="Q396" s="65" t="s">
        <v>80</v>
      </c>
      <c r="R396" s="62" t="s">
        <v>81</v>
      </c>
      <c r="S396" s="65" t="s">
        <v>77</v>
      </c>
      <c r="T396" s="674" t="s">
        <v>107</v>
      </c>
      <c r="U396" s="13" t="s">
        <v>53</v>
      </c>
      <c r="V396" s="13" t="s">
        <v>82</v>
      </c>
      <c r="W396" s="13" t="s">
        <v>32</v>
      </c>
      <c r="X396" s="13" t="s">
        <v>69</v>
      </c>
      <c r="Y396" s="12"/>
      <c r="Z396" s="12"/>
      <c r="AA396" s="12"/>
      <c r="AB396" s="13" t="s">
        <v>72</v>
      </c>
      <c r="AC396" s="13" t="s">
        <v>80</v>
      </c>
      <c r="AD396" s="62" t="s">
        <v>81</v>
      </c>
      <c r="AE396" s="65" t="s">
        <v>77</v>
      </c>
      <c r="AF396" s="151" t="s">
        <v>107</v>
      </c>
      <c r="AG396" s="13" t="s">
        <v>78</v>
      </c>
      <c r="AH396" s="13" t="s">
        <v>82</v>
      </c>
      <c r="AI396" s="13" t="s">
        <v>33</v>
      </c>
      <c r="AJ396" s="13" t="s">
        <v>69</v>
      </c>
      <c r="AK396" s="12"/>
      <c r="AL396" s="12"/>
      <c r="AM396" s="13" t="s">
        <v>72</v>
      </c>
      <c r="AN396" s="13" t="s">
        <v>80</v>
      </c>
      <c r="AO396" s="62" t="s">
        <v>81</v>
      </c>
      <c r="AP396" s="65" t="s">
        <v>77</v>
      </c>
      <c r="AQ396" s="151" t="s">
        <v>107</v>
      </c>
      <c r="AR396" s="13" t="s">
        <v>78</v>
      </c>
      <c r="AS396" s="13" t="s">
        <v>82</v>
      </c>
      <c r="AT396" s="13" t="s">
        <v>33</v>
      </c>
      <c r="AU396" s="13" t="s">
        <v>69</v>
      </c>
      <c r="AV396" s="13"/>
      <c r="AW396" s="13"/>
      <c r="AX396" s="13" t="s">
        <v>72</v>
      </c>
      <c r="AY396" s="13" t="s">
        <v>80</v>
      </c>
      <c r="AZ396" s="62" t="s">
        <v>81</v>
      </c>
      <c r="BA396" s="65" t="s">
        <v>77</v>
      </c>
      <c r="BB396" s="151" t="s">
        <v>107</v>
      </c>
      <c r="BC396" s="13" t="s">
        <v>78</v>
      </c>
      <c r="BD396" s="13" t="s">
        <v>82</v>
      </c>
      <c r="BE396" s="13" t="s">
        <v>33</v>
      </c>
      <c r="BF396" s="13" t="s">
        <v>69</v>
      </c>
      <c r="BG396" s="13"/>
      <c r="BH396" s="13"/>
      <c r="BI396" s="13" t="s">
        <v>159</v>
      </c>
      <c r="BJ396" s="12"/>
      <c r="BK396" s="227"/>
      <c r="BL396" s="12"/>
      <c r="BM396" s="12"/>
      <c r="BN396" s="285"/>
      <c r="BO396" s="15"/>
    </row>
    <row r="397" spans="1:67" x14ac:dyDescent="0.25">
      <c r="A397" s="145"/>
      <c r="B397" s="12"/>
      <c r="C397" s="115"/>
      <c r="D397" s="115"/>
      <c r="E397" s="152">
        <f>BL395</f>
        <v>0</v>
      </c>
      <c r="F397" s="19">
        <f>IF($D$4=2022,1,0)</f>
        <v>0</v>
      </c>
      <c r="G397" s="178">
        <f>IF($B407="Yes",$C$5,$I406)</f>
        <v>12</v>
      </c>
      <c r="H397" s="36">
        <f>VLOOKUP(H405,'Lookup Tables'!$A$22:$B$33,2,FALSE)</f>
        <v>3</v>
      </c>
      <c r="I397" s="192">
        <f>VLOOKUP($E$4,'Lookup Tables'!$AB$46:$AN$58,MATCH($H397,'Lookup Tables'!$AB$46:$AN$46),FALSE)</f>
        <v>12</v>
      </c>
      <c r="J397" s="19">
        <f>12-I397</f>
        <v>0</v>
      </c>
      <c r="K397" s="19">
        <f>IF(G397&lt;J397,G397,J397)</f>
        <v>0</v>
      </c>
      <c r="L397" s="195">
        <f>IF(12-I397&gt;=1,1,0)</f>
        <v>0</v>
      </c>
      <c r="M397" s="20">
        <f>((('Rate Tables'!$B109*$E397)*PersonCalcYr3!$K397)*L397)*$F397</f>
        <v>0</v>
      </c>
      <c r="N397" s="8">
        <f>G397-(J397*L397)</f>
        <v>12</v>
      </c>
      <c r="O397" s="12"/>
      <c r="P397" s="8">
        <f>IF(N397&lt;0,N397*0,1)*N397</f>
        <v>12</v>
      </c>
      <c r="Q397" s="120">
        <f>VLOOKUP($H405,'Lookup Tables'!$A$22:$B$33,2,FALSE)+(K397*L397)</f>
        <v>3</v>
      </c>
      <c r="R397" s="121" t="str">
        <f>VLOOKUP(Q397,'Lookup Tables'!$A$38:$B$151,2,FALSE)</f>
        <v>Sept</v>
      </c>
      <c r="S397" s="36">
        <f>VLOOKUP(R397,'Lookup Tables'!$A$22:$B$33,2,FALSE)</f>
        <v>3</v>
      </c>
      <c r="T397" s="672">
        <f>VLOOKUP($E$4,'Lookup Tables'!$AQ$46:$BC$58,MATCH(PersonCalcYr3!$S397,'Lookup Tables'!$AQ$46:$BC$46),FALSE)</f>
        <v>10</v>
      </c>
      <c r="U397" s="19">
        <f>IF(P397&lt;T397,P397,T397)</f>
        <v>10</v>
      </c>
      <c r="V397" s="119">
        <f>IF((U397)&lt;=0,0,1)</f>
        <v>1</v>
      </c>
      <c r="W397" s="20">
        <f>(('Rate Tables'!$C109*$E397)*PersonCalcYr3!$U397)*$V397*$F397</f>
        <v>0</v>
      </c>
      <c r="X397" s="8">
        <f>P397-(U397*V397)</f>
        <v>2</v>
      </c>
      <c r="Y397" s="12"/>
      <c r="Z397" s="12"/>
      <c r="AA397" s="12"/>
      <c r="AB397" s="19">
        <f>X397</f>
        <v>2</v>
      </c>
      <c r="AC397" s="123">
        <f>AC363</f>
        <v>13</v>
      </c>
      <c r="AD397" s="121" t="str">
        <f>VLOOKUP(AC397,'Lookup Tables'!$A$38:$B$151,2,FALSE)</f>
        <v>July</v>
      </c>
      <c r="AE397" s="36">
        <f>VLOOKUP(AD397,'Lookup Tables'!$A$22:$B$33,2,FALSE)</f>
        <v>1</v>
      </c>
      <c r="AF397" s="87">
        <f>VLOOKUP($AE397,'Lookup Tables'!$AC$3:$AW$16,MATCH(PersonCalcYr3!$AB397,'Lookup Tables'!$AC$3:$AW$3),FALSE)</f>
        <v>2</v>
      </c>
      <c r="AG397" s="19">
        <f>IF(AB397&lt;AF397,AB397,AF397)</f>
        <v>2</v>
      </c>
      <c r="AH397" s="119">
        <f>IF((AG397)&lt;=0,0,1)</f>
        <v>1</v>
      </c>
      <c r="AI397" s="20">
        <f>(('Rate Tables'!$D109*$E397)*PersonCalcYr3!AG397)*AH397*$F397</f>
        <v>0</v>
      </c>
      <c r="AJ397" s="8">
        <f>AB397-(AG397*AH397)</f>
        <v>0</v>
      </c>
      <c r="AK397" s="12"/>
      <c r="AL397" s="12"/>
      <c r="AM397" s="19">
        <f>AJ397</f>
        <v>0</v>
      </c>
      <c r="AN397" s="123">
        <f>AN363</f>
        <v>3</v>
      </c>
      <c r="AO397" s="121" t="str">
        <f>VLOOKUP(AN397,'Lookup Tables'!$A$38:$B$151,2,FALSE)</f>
        <v>Sept</v>
      </c>
      <c r="AP397" s="36">
        <f>VLOOKUP(AO397,'Lookup Tables'!$A$22:$B$33,2,FALSE)</f>
        <v>3</v>
      </c>
      <c r="AQ397" s="87">
        <f>VLOOKUP($AP397,'Lookup Tables'!$AC$3:$AW$16,MATCH(PersonCalcYr3!$AM397,'Lookup Tables'!$AC$3:$AW$3),FALSE)</f>
        <v>0</v>
      </c>
      <c r="AR397" s="19">
        <f>IF(AM397&lt;AQ397,AM397,AQ397)</f>
        <v>0</v>
      </c>
      <c r="AS397" s="119">
        <f>IF((AR397)&lt;=0,0,1)</f>
        <v>0</v>
      </c>
      <c r="AT397" s="20">
        <f>(('Rate Tables'!$E109*$E397)*PersonCalcYr3!AR397)*AS397*$F397</f>
        <v>0</v>
      </c>
      <c r="AU397" s="8">
        <f>AM397-(AR397*AS397)</f>
        <v>0</v>
      </c>
      <c r="AV397" s="19"/>
      <c r="AW397" s="19"/>
      <c r="AX397" s="19">
        <f>AU397</f>
        <v>0</v>
      </c>
      <c r="AY397" s="123">
        <f>AY363</f>
        <v>3</v>
      </c>
      <c r="AZ397" s="121" t="str">
        <f>VLOOKUP(AY397,'Lookup Tables'!$A$38:$B$151,2,FALSE)</f>
        <v>Sept</v>
      </c>
      <c r="BA397" s="36">
        <f>VLOOKUP(AZ397,'Lookup Tables'!$A$22:$B$33,2,FALSE)</f>
        <v>3</v>
      </c>
      <c r="BB397" s="87">
        <f>VLOOKUP($BA397,'Lookup Tables'!$AC$3:$AW$16,MATCH(PersonCalcYr3!$AX397,'Lookup Tables'!$AC$3:$AW$3),FALSE)</f>
        <v>0</v>
      </c>
      <c r="BC397" s="19">
        <f>IF(AX397&lt;BB397,AX397,BB397)</f>
        <v>0</v>
      </c>
      <c r="BD397" s="119">
        <f>IF((BC397)&lt;=0,0,1)</f>
        <v>0</v>
      </c>
      <c r="BE397" s="20">
        <f>(('Rate Tables'!$F109*$E397)*PersonCalcYr3!BC397)*BD397*$F397</f>
        <v>0</v>
      </c>
      <c r="BF397" s="8">
        <f>AX397-(BC397*BD397)</f>
        <v>0</v>
      </c>
      <c r="BG397" s="19"/>
      <c r="BH397" s="19"/>
      <c r="BI397" s="19">
        <f>VLOOKUP(B359,'Lookup Tables'!$AK$22:$AM$24,3,0)</f>
        <v>1</v>
      </c>
      <c r="BJ397" s="12"/>
      <c r="BK397" s="227"/>
      <c r="BL397" s="12"/>
      <c r="BM397" s="276" t="s">
        <v>188</v>
      </c>
      <c r="BN397" s="285">
        <f>BN395*'Rate Tables'!P$8</f>
        <v>0</v>
      </c>
      <c r="BO397" s="15"/>
    </row>
    <row r="398" spans="1:67" x14ac:dyDescent="0.25">
      <c r="A398" s="145"/>
      <c r="B398" s="12"/>
      <c r="C398" s="117" t="s">
        <v>597</v>
      </c>
      <c r="D398" s="117"/>
      <c r="E398" s="13"/>
      <c r="F398" s="13" t="s">
        <v>42</v>
      </c>
      <c r="G398" s="13" t="s">
        <v>41</v>
      </c>
      <c r="H398" s="65" t="s">
        <v>77</v>
      </c>
      <c r="I398" s="150" t="s">
        <v>51</v>
      </c>
      <c r="J398" s="13" t="s">
        <v>110</v>
      </c>
      <c r="K398" s="13" t="s">
        <v>53</v>
      </c>
      <c r="L398" s="13" t="s">
        <v>82</v>
      </c>
      <c r="M398" s="13" t="s">
        <v>32</v>
      </c>
      <c r="N398" s="13" t="s">
        <v>69</v>
      </c>
      <c r="O398" s="12"/>
      <c r="P398" s="13" t="s">
        <v>72</v>
      </c>
      <c r="Q398" s="65" t="s">
        <v>80</v>
      </c>
      <c r="R398" s="62" t="s">
        <v>81</v>
      </c>
      <c r="S398" s="65" t="s">
        <v>77</v>
      </c>
      <c r="T398" s="674" t="s">
        <v>107</v>
      </c>
      <c r="U398" s="13" t="s">
        <v>78</v>
      </c>
      <c r="V398" s="13" t="s">
        <v>82</v>
      </c>
      <c r="W398" s="13" t="s">
        <v>33</v>
      </c>
      <c r="X398" s="13" t="s">
        <v>69</v>
      </c>
      <c r="Y398" s="12"/>
      <c r="Z398" s="12"/>
      <c r="AA398" s="12"/>
      <c r="AB398" s="13" t="s">
        <v>72</v>
      </c>
      <c r="AC398" s="13" t="s">
        <v>80</v>
      </c>
      <c r="AD398" s="62" t="s">
        <v>81</v>
      </c>
      <c r="AE398" s="65" t="s">
        <v>77</v>
      </c>
      <c r="AF398" s="151" t="s">
        <v>107</v>
      </c>
      <c r="AG398" s="13" t="s">
        <v>79</v>
      </c>
      <c r="AH398" s="13" t="s">
        <v>82</v>
      </c>
      <c r="AI398" s="13" t="s">
        <v>34</v>
      </c>
      <c r="AJ398" s="13" t="s">
        <v>69</v>
      </c>
      <c r="AK398" s="12"/>
      <c r="AL398" s="12"/>
      <c r="AM398" s="13" t="s">
        <v>72</v>
      </c>
      <c r="AN398" s="13" t="s">
        <v>80</v>
      </c>
      <c r="AO398" s="62" t="s">
        <v>81</v>
      </c>
      <c r="AP398" s="65" t="s">
        <v>77</v>
      </c>
      <c r="AQ398" s="151" t="s">
        <v>107</v>
      </c>
      <c r="AR398" s="13" t="s">
        <v>79</v>
      </c>
      <c r="AS398" s="13" t="s">
        <v>82</v>
      </c>
      <c r="AT398" s="13" t="s">
        <v>34</v>
      </c>
      <c r="AU398" s="13" t="s">
        <v>69</v>
      </c>
      <c r="AV398" s="13"/>
      <c r="AW398" s="13"/>
      <c r="AX398" s="13" t="s">
        <v>72</v>
      </c>
      <c r="AY398" s="13" t="s">
        <v>80</v>
      </c>
      <c r="AZ398" s="62" t="s">
        <v>81</v>
      </c>
      <c r="BA398" s="65" t="s">
        <v>77</v>
      </c>
      <c r="BB398" s="151" t="s">
        <v>107</v>
      </c>
      <c r="BC398" s="13" t="s">
        <v>79</v>
      </c>
      <c r="BD398" s="13" t="s">
        <v>82</v>
      </c>
      <c r="BE398" s="13" t="s">
        <v>34</v>
      </c>
      <c r="BF398" s="13" t="s">
        <v>69</v>
      </c>
      <c r="BG398" s="13"/>
      <c r="BH398" s="13"/>
      <c r="BI398" s="13"/>
      <c r="BJ398" s="12"/>
      <c r="BK398" s="311"/>
      <c r="BL398" s="12"/>
      <c r="BM398" s="12"/>
      <c r="BN398" s="285"/>
      <c r="BO398" s="15"/>
    </row>
    <row r="399" spans="1:67" x14ac:dyDescent="0.25">
      <c r="A399" s="145"/>
      <c r="B399" s="12"/>
      <c r="C399" s="115"/>
      <c r="D399" s="115"/>
      <c r="E399" s="152">
        <f>BL395</f>
        <v>0</v>
      </c>
      <c r="F399" s="19">
        <f>IF($D$4=2023,1,0)</f>
        <v>0</v>
      </c>
      <c r="G399" s="178">
        <f>IF($B407="Yes",$C$5,$I406)</f>
        <v>12</v>
      </c>
      <c r="H399" s="36">
        <f>VLOOKUP(H405,'Lookup Tables'!$A$22:$B$33,2,FALSE)</f>
        <v>3</v>
      </c>
      <c r="I399" s="192">
        <f>VLOOKUP($E$4,'Lookup Tables'!$AB$46:$AN$58,MATCH($H399,'Lookup Tables'!$AB$46:$AN$46),FALSE)</f>
        <v>12</v>
      </c>
      <c r="J399" s="19">
        <f>12-I399</f>
        <v>0</v>
      </c>
      <c r="K399" s="19">
        <f>IF(G399&lt;J399,G399,J399)</f>
        <v>0</v>
      </c>
      <c r="L399" s="195">
        <f>IF(12-I399&gt;=1,1,0)</f>
        <v>0</v>
      </c>
      <c r="M399" s="20">
        <f>((('Rate Tables'!$C109*$E399)*PersonCalcYr3!$K399)*L399)*$F399</f>
        <v>0</v>
      </c>
      <c r="N399" s="8">
        <f>G399-(J399*L399)</f>
        <v>12</v>
      </c>
      <c r="O399" s="12"/>
      <c r="P399" s="8">
        <f>IF(N399&lt;0,N399*0,1)*N399</f>
        <v>12</v>
      </c>
      <c r="Q399" s="120">
        <f>VLOOKUP($H405,'Lookup Tables'!$A$22:$B$33,2,FALSE)+(K399*L399)</f>
        <v>3</v>
      </c>
      <c r="R399" s="121" t="str">
        <f>VLOOKUP(Q399,'Lookup Tables'!$A$38:$B$151,2,FALSE)</f>
        <v>Sept</v>
      </c>
      <c r="S399" s="36">
        <f>VLOOKUP(R399,'Lookup Tables'!$A$22:$B$33,2,FALSE)</f>
        <v>3</v>
      </c>
      <c r="T399" s="672">
        <f>VLOOKUP($E$4,'Lookup Tables'!$AQ$46:$BC$58,MATCH(PersonCalcYr3!$S399,'Lookup Tables'!$AQ$46:$BC$46),FALSE)</f>
        <v>10</v>
      </c>
      <c r="U399" s="19">
        <f>IF(P399&lt;T399,P399,T399)</f>
        <v>10</v>
      </c>
      <c r="V399" s="119">
        <f>IF((U399)&lt;=0,0,1)</f>
        <v>1</v>
      </c>
      <c r="W399" s="20">
        <f>(('Rate Tables'!$D109*$E399)*PersonCalcYr3!$U399)*$V399*$F399</f>
        <v>0</v>
      </c>
      <c r="X399" s="8">
        <f>P399-(U399*V399)</f>
        <v>2</v>
      </c>
      <c r="Y399" s="12"/>
      <c r="Z399" s="12"/>
      <c r="AA399" s="12"/>
      <c r="AB399" s="19">
        <f>X399</f>
        <v>2</v>
      </c>
      <c r="AC399" s="123">
        <f>AC365</f>
        <v>13</v>
      </c>
      <c r="AD399" s="121" t="str">
        <f>VLOOKUP(AC399,'Lookup Tables'!$A$38:$B$151,2,FALSE)</f>
        <v>July</v>
      </c>
      <c r="AE399" s="36">
        <f>VLOOKUP(AD399,'Lookup Tables'!$A$22:$B$33,2,FALSE)</f>
        <v>1</v>
      </c>
      <c r="AF399" s="87">
        <f>VLOOKUP($AE399,'Lookup Tables'!$AC$3:$AW$16,MATCH(PersonCalcYr3!$AB399,'Lookup Tables'!$AC$3:$AW$3),FALSE)</f>
        <v>2</v>
      </c>
      <c r="AG399" s="19">
        <f>IF(AB399&lt;AF399,AB399,AF399)</f>
        <v>2</v>
      </c>
      <c r="AH399" s="119">
        <f>IF((AG399)&lt;=0,0,1)</f>
        <v>1</v>
      </c>
      <c r="AI399" s="20">
        <f>(('Rate Tables'!$E109*$E399)*PersonCalcYr3!AG399)*AH399*$F399</f>
        <v>0</v>
      </c>
      <c r="AJ399" s="8">
        <f>AB399-(AG399*AH399)</f>
        <v>0</v>
      </c>
      <c r="AK399" s="12"/>
      <c r="AL399" s="12"/>
      <c r="AM399" s="19">
        <f>AJ399</f>
        <v>0</v>
      </c>
      <c r="AN399" s="123">
        <f>AN365</f>
        <v>3</v>
      </c>
      <c r="AO399" s="121" t="str">
        <f>VLOOKUP(AN399,'Lookup Tables'!$A$38:$B$151,2,FALSE)</f>
        <v>Sept</v>
      </c>
      <c r="AP399" s="36">
        <f>VLOOKUP(AO399,'Lookup Tables'!$A$22:$B$33,2,FALSE)</f>
        <v>3</v>
      </c>
      <c r="AQ399" s="87">
        <f>VLOOKUP($AP399,'Lookup Tables'!$AC$3:$AW$16,MATCH(PersonCalcYr3!$AM399,'Lookup Tables'!$AC$3:$AW$3),FALSE)</f>
        <v>0</v>
      </c>
      <c r="AR399" s="19">
        <f>IF(AM399&lt;AQ399,AM399,AQ399)</f>
        <v>0</v>
      </c>
      <c r="AS399" s="119">
        <f>IF((AR399)&lt;=0,0,1)</f>
        <v>0</v>
      </c>
      <c r="AT399" s="20">
        <f>(('Rate Tables'!$F109*$E399)*PersonCalcYr3!AR399)*AS399*$F399</f>
        <v>0</v>
      </c>
      <c r="AU399" s="8">
        <f>AM399-(AR399*AS399)</f>
        <v>0</v>
      </c>
      <c r="AV399" s="20"/>
      <c r="AW399" s="20"/>
      <c r="AX399" s="19">
        <f>AU399</f>
        <v>0</v>
      </c>
      <c r="AY399" s="123">
        <f>AY365</f>
        <v>3</v>
      </c>
      <c r="AZ399" s="121" t="str">
        <f>VLOOKUP(AY399,'Lookup Tables'!$A$38:$B$151,2,FALSE)</f>
        <v>Sept</v>
      </c>
      <c r="BA399" s="36">
        <f>VLOOKUP(AZ399,'Lookup Tables'!$A$22:$B$33,2,FALSE)</f>
        <v>3</v>
      </c>
      <c r="BB399" s="87">
        <f>VLOOKUP($BA399,'Lookup Tables'!$AC$3:$AW$16,MATCH(PersonCalcYr3!$AX399,'Lookup Tables'!$AC$3:$AW$3),FALSE)</f>
        <v>0</v>
      </c>
      <c r="BC399" s="19">
        <f>IF(AX399&lt;BB399,AX399,BB399)</f>
        <v>0</v>
      </c>
      <c r="BD399" s="119">
        <f>IF((BC399)&lt;=0,0,1)</f>
        <v>0</v>
      </c>
      <c r="BE399" s="20">
        <f>(('Rate Tables'!$G109*$E399)*PersonCalcYr3!BC399)*BD399*$F399</f>
        <v>0</v>
      </c>
      <c r="BF399" s="8">
        <f>AX399-(BC399*BD399)</f>
        <v>0</v>
      </c>
      <c r="BG399" s="20"/>
      <c r="BH399" s="20"/>
      <c r="BI399" s="20"/>
      <c r="BJ399" s="12"/>
      <c r="BK399" s="311"/>
      <c r="BL399" s="349" t="s">
        <v>643</v>
      </c>
      <c r="BM399" s="276" t="s">
        <v>136</v>
      </c>
      <c r="BN399" s="285">
        <f>(((O405+O406+O407+O408+AA405+AA406+AA407+AA408+AL405+AL406+AL407+AL408+AW405+AW406+AW407+AW408+BH405+BH406+BH407+BH408)*BI405)*BN400)*BL404</f>
        <v>0</v>
      </c>
      <c r="BO399" s="12" t="s">
        <v>418</v>
      </c>
    </row>
    <row r="400" spans="1:67" x14ac:dyDescent="0.25">
      <c r="A400" s="145"/>
      <c r="B400" s="12"/>
      <c r="C400" s="117" t="s">
        <v>664</v>
      </c>
      <c r="D400" s="117"/>
      <c r="E400" s="13"/>
      <c r="F400" s="13" t="s">
        <v>42</v>
      </c>
      <c r="G400" s="13" t="s">
        <v>41</v>
      </c>
      <c r="H400" s="65" t="s">
        <v>77</v>
      </c>
      <c r="I400" s="150" t="s">
        <v>51</v>
      </c>
      <c r="J400" s="13" t="s">
        <v>110</v>
      </c>
      <c r="K400" s="13" t="s">
        <v>53</v>
      </c>
      <c r="L400" s="13" t="s">
        <v>82</v>
      </c>
      <c r="M400" s="13" t="s">
        <v>32</v>
      </c>
      <c r="N400" s="13" t="s">
        <v>69</v>
      </c>
      <c r="O400" s="12"/>
      <c r="P400" s="13" t="s">
        <v>72</v>
      </c>
      <c r="Q400" s="65" t="s">
        <v>80</v>
      </c>
      <c r="R400" s="62" t="s">
        <v>81</v>
      </c>
      <c r="S400" s="65" t="s">
        <v>77</v>
      </c>
      <c r="T400" s="674" t="s">
        <v>107</v>
      </c>
      <c r="U400" s="13" t="s">
        <v>78</v>
      </c>
      <c r="V400" s="13" t="s">
        <v>82</v>
      </c>
      <c r="W400" s="13" t="s">
        <v>33</v>
      </c>
      <c r="X400" s="13" t="s">
        <v>69</v>
      </c>
      <c r="Y400" s="12"/>
      <c r="Z400" s="12"/>
      <c r="AA400" s="12"/>
      <c r="AB400" s="13" t="s">
        <v>72</v>
      </c>
      <c r="AC400" s="13" t="s">
        <v>80</v>
      </c>
      <c r="AD400" s="62" t="s">
        <v>81</v>
      </c>
      <c r="AE400" s="65" t="s">
        <v>77</v>
      </c>
      <c r="AF400" s="151" t="s">
        <v>107</v>
      </c>
      <c r="AG400" s="13" t="s">
        <v>79</v>
      </c>
      <c r="AH400" s="13" t="s">
        <v>82</v>
      </c>
      <c r="AI400" s="13" t="s">
        <v>34</v>
      </c>
      <c r="AJ400" s="13" t="s">
        <v>69</v>
      </c>
      <c r="AK400" s="12"/>
      <c r="AL400" s="12"/>
      <c r="AM400" s="13" t="s">
        <v>72</v>
      </c>
      <c r="AN400" s="13" t="s">
        <v>80</v>
      </c>
      <c r="AO400" s="62" t="s">
        <v>81</v>
      </c>
      <c r="AP400" s="65" t="s">
        <v>77</v>
      </c>
      <c r="AQ400" s="151" t="s">
        <v>107</v>
      </c>
      <c r="AR400" s="13" t="s">
        <v>79</v>
      </c>
      <c r="AS400" s="13" t="s">
        <v>82</v>
      </c>
      <c r="AT400" s="13" t="s">
        <v>34</v>
      </c>
      <c r="AU400" s="13" t="s">
        <v>69</v>
      </c>
      <c r="AV400" s="20"/>
      <c r="AW400" s="20"/>
      <c r="AX400" s="13" t="s">
        <v>72</v>
      </c>
      <c r="AY400" s="13" t="s">
        <v>80</v>
      </c>
      <c r="AZ400" s="62" t="s">
        <v>81</v>
      </c>
      <c r="BA400" s="65" t="s">
        <v>77</v>
      </c>
      <c r="BB400" s="151" t="s">
        <v>107</v>
      </c>
      <c r="BC400" s="13" t="s">
        <v>79</v>
      </c>
      <c r="BD400" s="13" t="s">
        <v>82</v>
      </c>
      <c r="BE400" s="13" t="s">
        <v>34</v>
      </c>
      <c r="BF400" s="13" t="s">
        <v>69</v>
      </c>
      <c r="BG400" s="20"/>
      <c r="BH400" s="20"/>
      <c r="BI400" s="20"/>
      <c r="BJ400" s="12"/>
      <c r="BK400" s="311"/>
      <c r="BL400" s="350" t="s">
        <v>644</v>
      </c>
      <c r="BM400" s="227" t="s">
        <v>582</v>
      </c>
      <c r="BN400" s="663">
        <f>IF(BN395&gt;0,1,0)</f>
        <v>0</v>
      </c>
      <c r="BO400" s="12"/>
    </row>
    <row r="401" spans="1:67" x14ac:dyDescent="0.25">
      <c r="A401" s="145"/>
      <c r="B401" s="12"/>
      <c r="C401" s="115"/>
      <c r="D401" s="115"/>
      <c r="E401" s="152">
        <f>BL395</f>
        <v>0</v>
      </c>
      <c r="F401" s="19">
        <f>IF($D$4=2024,1,0)</f>
        <v>1</v>
      </c>
      <c r="G401" s="178">
        <f>IF($B407="Yes",$C$5,$I406)</f>
        <v>12</v>
      </c>
      <c r="H401" s="36">
        <f>VLOOKUP(H405,'Lookup Tables'!$A$22:$B$33,2,FALSE)</f>
        <v>3</v>
      </c>
      <c r="I401" s="192">
        <f>VLOOKUP($E$4,'Lookup Tables'!$AB$46:$AN$58,MATCH($H401,'Lookup Tables'!$AB$46:$AN$46),FALSE)</f>
        <v>12</v>
      </c>
      <c r="J401" s="19">
        <f>12-I401</f>
        <v>0</v>
      </c>
      <c r="K401" s="19">
        <f>IF(G401&lt;J401,G401,J401)</f>
        <v>0</v>
      </c>
      <c r="L401" s="195">
        <f>IF(12-I401&gt;=1,1,0)</f>
        <v>0</v>
      </c>
      <c r="M401" s="20">
        <f>((('Rate Tables'!$D109*$E401)*PersonCalcYr3!$K401)*L401)*$F401</f>
        <v>0</v>
      </c>
      <c r="N401" s="8">
        <f>G401-(J401*L401)</f>
        <v>12</v>
      </c>
      <c r="O401" s="12"/>
      <c r="P401" s="8">
        <f>IF(N401&lt;0,N401*0,1)*N401</f>
        <v>12</v>
      </c>
      <c r="Q401" s="120">
        <f>VLOOKUP($H405,'Lookup Tables'!$A$22:$B$33,2,FALSE)+(K401*L401)</f>
        <v>3</v>
      </c>
      <c r="R401" s="121" t="str">
        <f>VLOOKUP(Q401,'Lookup Tables'!$A$38:$B$151,2,FALSE)</f>
        <v>Sept</v>
      </c>
      <c r="S401" s="36">
        <f>VLOOKUP(R401,'Lookup Tables'!$A$22:$B$33,2,FALSE)</f>
        <v>3</v>
      </c>
      <c r="T401" s="672">
        <f>VLOOKUP($E$4,'Lookup Tables'!$AQ$46:$BC$58,MATCH(PersonCalcYr3!$S401,'Lookup Tables'!$AQ$46:$BC$46),FALSE)</f>
        <v>10</v>
      </c>
      <c r="U401" s="19">
        <f>IF(P401&lt;T401,P401,T401)</f>
        <v>10</v>
      </c>
      <c r="V401" s="119">
        <f>IF((U401)&lt;=0,0,1)</f>
        <v>1</v>
      </c>
      <c r="W401" s="20">
        <f>(('Rate Tables'!$E109*$E401)*PersonCalcYr3!$U401)*$V401*$F401</f>
        <v>0</v>
      </c>
      <c r="X401" s="8">
        <f>P401-(U401*V401)</f>
        <v>2</v>
      </c>
      <c r="Y401" s="12"/>
      <c r="Z401" s="12"/>
      <c r="AA401" s="12"/>
      <c r="AB401" s="19">
        <f>X401</f>
        <v>2</v>
      </c>
      <c r="AC401" s="123">
        <f>AC367</f>
        <v>13</v>
      </c>
      <c r="AD401" s="121" t="str">
        <f>VLOOKUP(AC401,'Lookup Tables'!$A$38:$B$151,2,FALSE)</f>
        <v>July</v>
      </c>
      <c r="AE401" s="36">
        <f>VLOOKUP(AD401,'Lookup Tables'!$A$22:$B$33,2,FALSE)</f>
        <v>1</v>
      </c>
      <c r="AF401" s="87">
        <f>VLOOKUP($AE401,'Lookup Tables'!$AC$3:$AW$16,MATCH(PersonCalcYr3!$AB401,'Lookup Tables'!$AC$3:$AW$3),FALSE)</f>
        <v>2</v>
      </c>
      <c r="AG401" s="19">
        <f>IF(AB401&lt;AF401,AB401,AF401)</f>
        <v>2</v>
      </c>
      <c r="AH401" s="119">
        <f>IF((AG401)&lt;=0,0,1)</f>
        <v>1</v>
      </c>
      <c r="AI401" s="20">
        <f>(('Rate Tables'!$F109*$E401)*PersonCalcYr3!AG401)*AH401*$F401</f>
        <v>0</v>
      </c>
      <c r="AJ401" s="8">
        <f>AB401-(AG401*AH401)</f>
        <v>0</v>
      </c>
      <c r="AK401" s="12"/>
      <c r="AL401" s="12"/>
      <c r="AM401" s="19">
        <f>AJ401</f>
        <v>0</v>
      </c>
      <c r="AN401" s="123">
        <f>AN367</f>
        <v>3</v>
      </c>
      <c r="AO401" s="121" t="str">
        <f>VLOOKUP(AN401,'Lookup Tables'!$A$38:$B$151,2,FALSE)</f>
        <v>Sept</v>
      </c>
      <c r="AP401" s="36">
        <f>VLOOKUP(AO401,'Lookup Tables'!$A$22:$B$33,2,FALSE)</f>
        <v>3</v>
      </c>
      <c r="AQ401" s="87">
        <f>VLOOKUP($AP401,'Lookup Tables'!$AC$3:$AW$16,MATCH(PersonCalcYr3!$AM401,'Lookup Tables'!$AC$3:$AW$3),FALSE)</f>
        <v>0</v>
      </c>
      <c r="AR401" s="19">
        <f>IF(AM401&lt;AQ401,AM401,AQ401)</f>
        <v>0</v>
      </c>
      <c r="AS401" s="119">
        <f>IF((AR401)&lt;=0,0,1)</f>
        <v>0</v>
      </c>
      <c r="AT401" s="20">
        <f>(('Rate Tables'!$G109*$E401)*PersonCalcYr3!AR401)*AS401*$F401</f>
        <v>0</v>
      </c>
      <c r="AU401" s="8">
        <f>AM401-(AR401*AS401)</f>
        <v>0</v>
      </c>
      <c r="AV401" s="20"/>
      <c r="AW401" s="20"/>
      <c r="AX401" s="19">
        <f>AU401</f>
        <v>0</v>
      </c>
      <c r="AY401" s="123">
        <f>AY367</f>
        <v>3</v>
      </c>
      <c r="AZ401" s="121" t="str">
        <f>VLOOKUP(AY401,'Lookup Tables'!$A$38:$B$151,2,FALSE)</f>
        <v>Sept</v>
      </c>
      <c r="BA401" s="36">
        <f>VLOOKUP(AZ401,'Lookup Tables'!$A$22:$B$33,2,FALSE)</f>
        <v>3</v>
      </c>
      <c r="BB401" s="87">
        <f>VLOOKUP($BA401,'Lookup Tables'!$AC$3:$AW$16,MATCH(PersonCalcYr3!$AX401,'Lookup Tables'!$AC$3:$AW$3),FALSE)</f>
        <v>0</v>
      </c>
      <c r="BC401" s="19">
        <f>IF(AX401&lt;BB401,AX401,BB401)</f>
        <v>0</v>
      </c>
      <c r="BD401" s="119">
        <f>IF((BC401)&lt;=0,0,1)</f>
        <v>0</v>
      </c>
      <c r="BE401" s="20">
        <f>(('Rate Tables'!$H109*$E401)*PersonCalcYr3!BC401)*BD401*$F401</f>
        <v>0</v>
      </c>
      <c r="BF401" s="8">
        <f>AX401-(BC401*BD401)</f>
        <v>0</v>
      </c>
      <c r="BG401" s="20"/>
      <c r="BH401" s="20"/>
      <c r="BI401" s="20"/>
      <c r="BJ401" s="12"/>
      <c r="BK401" s="311"/>
      <c r="BL401" s="358" t="str">
        <f>IF(BL395=50%,"no",Personnel!W94)</f>
        <v>No</v>
      </c>
      <c r="BM401" s="276"/>
      <c r="BN401" s="285"/>
      <c r="BO401" s="12"/>
    </row>
    <row r="402" spans="1:67" x14ac:dyDescent="0.25">
      <c r="A402" s="145"/>
      <c r="B402" s="12"/>
      <c r="C402" s="819" t="s">
        <v>732</v>
      </c>
      <c r="D402" s="117"/>
      <c r="E402" s="13"/>
      <c r="F402" s="13" t="s">
        <v>42</v>
      </c>
      <c r="G402" s="13" t="s">
        <v>41</v>
      </c>
      <c r="H402" s="65" t="s">
        <v>77</v>
      </c>
      <c r="I402" s="150" t="s">
        <v>51</v>
      </c>
      <c r="J402" s="13" t="s">
        <v>110</v>
      </c>
      <c r="K402" s="13" t="s">
        <v>53</v>
      </c>
      <c r="L402" s="13" t="s">
        <v>82</v>
      </c>
      <c r="M402" s="13" t="s">
        <v>32</v>
      </c>
      <c r="N402" s="13" t="s">
        <v>69</v>
      </c>
      <c r="O402" s="12"/>
      <c r="P402" s="13" t="s">
        <v>72</v>
      </c>
      <c r="Q402" s="65" t="s">
        <v>80</v>
      </c>
      <c r="R402" s="62" t="s">
        <v>81</v>
      </c>
      <c r="S402" s="65" t="s">
        <v>77</v>
      </c>
      <c r="T402" s="674" t="s">
        <v>107</v>
      </c>
      <c r="U402" s="13" t="s">
        <v>78</v>
      </c>
      <c r="V402" s="13" t="s">
        <v>82</v>
      </c>
      <c r="W402" s="13" t="s">
        <v>33</v>
      </c>
      <c r="X402" s="13" t="s">
        <v>69</v>
      </c>
      <c r="Y402" s="12"/>
      <c r="Z402" s="12"/>
      <c r="AA402" s="12"/>
      <c r="AB402" s="13" t="s">
        <v>72</v>
      </c>
      <c r="AC402" s="13" t="s">
        <v>80</v>
      </c>
      <c r="AD402" s="62" t="s">
        <v>81</v>
      </c>
      <c r="AE402" s="65" t="s">
        <v>77</v>
      </c>
      <c r="AF402" s="151" t="s">
        <v>107</v>
      </c>
      <c r="AG402" s="13" t="s">
        <v>79</v>
      </c>
      <c r="AH402" s="13" t="s">
        <v>82</v>
      </c>
      <c r="AI402" s="13" t="s">
        <v>34</v>
      </c>
      <c r="AJ402" s="13" t="s">
        <v>69</v>
      </c>
      <c r="AK402" s="12"/>
      <c r="AL402" s="12"/>
      <c r="AM402" s="13" t="s">
        <v>72</v>
      </c>
      <c r="AN402" s="13" t="s">
        <v>80</v>
      </c>
      <c r="AO402" s="62" t="s">
        <v>81</v>
      </c>
      <c r="AP402" s="65" t="s">
        <v>77</v>
      </c>
      <c r="AQ402" s="151" t="s">
        <v>107</v>
      </c>
      <c r="AR402" s="13" t="s">
        <v>79</v>
      </c>
      <c r="AS402" s="13" t="s">
        <v>82</v>
      </c>
      <c r="AT402" s="13" t="s">
        <v>34</v>
      </c>
      <c r="AU402" s="13" t="s">
        <v>69</v>
      </c>
      <c r="AV402" s="20"/>
      <c r="AW402" s="20"/>
      <c r="AX402" s="13" t="s">
        <v>72</v>
      </c>
      <c r="AY402" s="13" t="s">
        <v>80</v>
      </c>
      <c r="AZ402" s="62" t="s">
        <v>81</v>
      </c>
      <c r="BA402" s="65" t="s">
        <v>77</v>
      </c>
      <c r="BB402" s="151" t="s">
        <v>107</v>
      </c>
      <c r="BC402" s="13" t="s">
        <v>79</v>
      </c>
      <c r="BD402" s="13" t="s">
        <v>82</v>
      </c>
      <c r="BE402" s="13" t="s">
        <v>34</v>
      </c>
      <c r="BF402" s="13" t="s">
        <v>69</v>
      </c>
      <c r="BG402" s="20"/>
      <c r="BH402" s="20"/>
      <c r="BI402" s="20"/>
      <c r="BJ402" s="12"/>
      <c r="BK402" s="311"/>
      <c r="BL402" s="358"/>
      <c r="BM402" s="276"/>
      <c r="BN402" s="285"/>
      <c r="BO402" s="12"/>
    </row>
    <row r="403" spans="1:67" x14ac:dyDescent="0.25">
      <c r="A403" s="145"/>
      <c r="B403" s="12"/>
      <c r="C403" s="115"/>
      <c r="D403" s="115"/>
      <c r="E403" s="152">
        <f>BL395</f>
        <v>0</v>
      </c>
      <c r="F403" s="19">
        <f>IF($D$4=2025,1,0)</f>
        <v>0</v>
      </c>
      <c r="G403" s="178">
        <f>IF($B407="Yes",$C$5,$I406)</f>
        <v>12</v>
      </c>
      <c r="H403" s="36">
        <f>VLOOKUP(H405,'Lookup Tables'!$A$22:$B$33,2,FALSE)</f>
        <v>3</v>
      </c>
      <c r="I403" s="192">
        <f>VLOOKUP($E$4,'Lookup Tables'!$AB$46:$AN$58,MATCH($H403,'Lookup Tables'!$AB$46:$AN$46),FALSE)</f>
        <v>12</v>
      </c>
      <c r="J403" s="19">
        <f>12-I403</f>
        <v>0</v>
      </c>
      <c r="K403" s="19">
        <f>IF(G403&lt;J403,G403,J403)</f>
        <v>0</v>
      </c>
      <c r="L403" s="195">
        <f>IF(12-I403&gt;=1,1,0)</f>
        <v>0</v>
      </c>
      <c r="M403" s="20">
        <f>((('Rate Tables'!$E109*$E403)*PersonCalcYr3!$K403)*L403)*$F403</f>
        <v>0</v>
      </c>
      <c r="N403" s="8">
        <f>G403-(J403*L403)</f>
        <v>12</v>
      </c>
      <c r="O403" s="12"/>
      <c r="P403" s="8">
        <f>IF(N403&lt;0,N403*0,1)*N403</f>
        <v>12</v>
      </c>
      <c r="Q403" s="120">
        <f>VLOOKUP($H405,'Lookup Tables'!$A$22:$B$33,2,FALSE)+(K403*L403)</f>
        <v>3</v>
      </c>
      <c r="R403" s="121" t="str">
        <f>VLOOKUP(Q403,'Lookup Tables'!$A$38:$B$151,2,FALSE)</f>
        <v>Sept</v>
      </c>
      <c r="S403" s="36">
        <f>VLOOKUP(R403,'Lookup Tables'!$A$22:$B$33,2,FALSE)</f>
        <v>3</v>
      </c>
      <c r="T403" s="672">
        <f>VLOOKUP($E$4,'Lookup Tables'!$AQ$46:$BC$58,MATCH(PersonCalcYr3!$S403,'Lookup Tables'!$AQ$46:$BC$46),FALSE)</f>
        <v>10</v>
      </c>
      <c r="U403" s="19">
        <f>IF(P403&lt;T403,P403,T403)</f>
        <v>10</v>
      </c>
      <c r="V403" s="119">
        <f>IF((U403)&lt;=0,0,1)</f>
        <v>1</v>
      </c>
      <c r="W403" s="20">
        <f>(('Rate Tables'!$F109*$E403)*PersonCalcYr3!$U403)*$V403*$F403</f>
        <v>0</v>
      </c>
      <c r="X403" s="8">
        <f>P403-(U403*V403)</f>
        <v>2</v>
      </c>
      <c r="Y403" s="12"/>
      <c r="Z403" s="12"/>
      <c r="AA403" s="12"/>
      <c r="AB403" s="19">
        <f>X403</f>
        <v>2</v>
      </c>
      <c r="AC403" s="123">
        <f>AC369</f>
        <v>13</v>
      </c>
      <c r="AD403" s="121" t="str">
        <f>VLOOKUP(AC403,'Lookup Tables'!$A$38:$B$151,2,FALSE)</f>
        <v>July</v>
      </c>
      <c r="AE403" s="36">
        <f>VLOOKUP(AD403,'Lookup Tables'!$A$22:$B$33,2,FALSE)</f>
        <v>1</v>
      </c>
      <c r="AF403" s="87">
        <f>VLOOKUP($AE403,'Lookup Tables'!$AC$3:$AW$16,MATCH(PersonCalcYr3!$AB403,'Lookup Tables'!$AC$3:$AW$3),FALSE)</f>
        <v>2</v>
      </c>
      <c r="AG403" s="19">
        <f>IF(AB403&lt;AF403,AB403,AF403)</f>
        <v>2</v>
      </c>
      <c r="AH403" s="119">
        <f>IF((AG403)&lt;=0,0,1)</f>
        <v>1</v>
      </c>
      <c r="AI403" s="20">
        <f>(('Rate Tables'!$G109*$E403)*PersonCalcYr3!AG403)*AH403*$F403</f>
        <v>0</v>
      </c>
      <c r="AJ403" s="8">
        <f>AB403-(AG403*AH403)</f>
        <v>0</v>
      </c>
      <c r="AK403" s="12"/>
      <c r="AL403" s="12"/>
      <c r="AM403" s="19">
        <f>AJ403</f>
        <v>0</v>
      </c>
      <c r="AN403" s="123">
        <f>AN369</f>
        <v>3</v>
      </c>
      <c r="AO403" s="121" t="str">
        <f>VLOOKUP(AN403,'Lookup Tables'!$A$38:$B$151,2,FALSE)</f>
        <v>Sept</v>
      </c>
      <c r="AP403" s="36">
        <f>VLOOKUP(AO403,'Lookup Tables'!$A$22:$B$33,2,FALSE)</f>
        <v>3</v>
      </c>
      <c r="AQ403" s="87">
        <f>VLOOKUP($AP403,'Lookup Tables'!$AC$3:$AW$16,MATCH(PersonCalcYr3!$AM403,'Lookup Tables'!$AC$3:$AW$3),FALSE)</f>
        <v>0</v>
      </c>
      <c r="AR403" s="19">
        <f>IF(AM403&lt;AQ403,AM403,AQ403)</f>
        <v>0</v>
      </c>
      <c r="AS403" s="119">
        <f>IF((AR403)&lt;=0,0,1)</f>
        <v>0</v>
      </c>
      <c r="AT403" s="20">
        <f>(('Rate Tables'!$H109*$E403)*PersonCalcYr3!AR403)*AS403*$F403</f>
        <v>0</v>
      </c>
      <c r="AU403" s="8">
        <f>AM403-(AR403*AS403)</f>
        <v>0</v>
      </c>
      <c r="AV403" s="20"/>
      <c r="AW403" s="20"/>
      <c r="AX403" s="19">
        <f>AU403</f>
        <v>0</v>
      </c>
      <c r="AY403" s="123">
        <f>AY369</f>
        <v>3</v>
      </c>
      <c r="AZ403" s="121" t="str">
        <f>VLOOKUP(AY403,'Lookup Tables'!$A$38:$B$151,2,FALSE)</f>
        <v>Sept</v>
      </c>
      <c r="BA403" s="36">
        <f>VLOOKUP(AZ403,'Lookup Tables'!$A$22:$B$33,2,FALSE)</f>
        <v>3</v>
      </c>
      <c r="BB403" s="87">
        <f>VLOOKUP($BA403,'Lookup Tables'!$AC$3:$AW$16,MATCH(PersonCalcYr3!$AX403,'Lookup Tables'!$AC$3:$AW$3),FALSE)</f>
        <v>0</v>
      </c>
      <c r="BC403" s="19">
        <f>IF(AX403&lt;BB403,AX403,BB403)</f>
        <v>0</v>
      </c>
      <c r="BD403" s="119">
        <f>IF((BC403)&lt;=0,0,1)</f>
        <v>0</v>
      </c>
      <c r="BE403" s="20">
        <f>(('Rate Tables'!$I109*$E403)*PersonCalcYr3!BC403)*BD403*$F403</f>
        <v>0</v>
      </c>
      <c r="BF403" s="8">
        <f>AX403-(BC403*BD403)</f>
        <v>0</v>
      </c>
      <c r="BG403" s="20"/>
      <c r="BH403" s="20"/>
      <c r="BI403" s="20"/>
      <c r="BJ403" s="12"/>
      <c r="BK403" s="311"/>
      <c r="BL403" s="358"/>
      <c r="BM403" s="276"/>
      <c r="BN403" s="285"/>
      <c r="BO403" s="12"/>
    </row>
    <row r="404" spans="1:67" x14ac:dyDescent="0.25">
      <c r="A404" s="145"/>
      <c r="B404" s="12" t="s">
        <v>127</v>
      </c>
      <c r="C404" s="12"/>
      <c r="D404" s="12"/>
      <c r="E404" s="12"/>
      <c r="F404" s="12"/>
      <c r="G404" s="12"/>
      <c r="H404" s="12"/>
      <c r="I404" s="12"/>
      <c r="J404" s="12"/>
      <c r="K404" s="12"/>
      <c r="L404" s="13"/>
      <c r="M404" s="13" t="s">
        <v>129</v>
      </c>
      <c r="N404" s="13" t="s">
        <v>128</v>
      </c>
      <c r="O404" s="153" t="s">
        <v>130</v>
      </c>
      <c r="P404" s="12"/>
      <c r="Q404" s="12"/>
      <c r="R404" s="12"/>
      <c r="S404" s="12"/>
      <c r="T404" s="12"/>
      <c r="U404" s="12"/>
      <c r="V404" s="12"/>
      <c r="W404" s="12"/>
      <c r="X404" s="12"/>
      <c r="Y404" s="13" t="s">
        <v>129</v>
      </c>
      <c r="Z404" s="13" t="s">
        <v>128</v>
      </c>
      <c r="AA404" s="153" t="s">
        <v>130</v>
      </c>
      <c r="AB404" s="12"/>
      <c r="AC404" s="12"/>
      <c r="AD404" s="12"/>
      <c r="AE404" s="12"/>
      <c r="AF404" s="12"/>
      <c r="AG404" s="12"/>
      <c r="AH404" s="12"/>
      <c r="AI404" s="12"/>
      <c r="AJ404" s="13" t="s">
        <v>129</v>
      </c>
      <c r="AK404" s="13" t="s">
        <v>128</v>
      </c>
      <c r="AL404" s="153" t="s">
        <v>130</v>
      </c>
      <c r="AM404" s="11"/>
      <c r="AN404" s="12"/>
      <c r="AO404" s="12"/>
      <c r="AP404" s="12"/>
      <c r="AQ404" s="12"/>
      <c r="AR404" s="12"/>
      <c r="AS404" s="12"/>
      <c r="AT404" s="12"/>
      <c r="AU404" s="13" t="s">
        <v>129</v>
      </c>
      <c r="AV404" s="13" t="s">
        <v>128</v>
      </c>
      <c r="AW404" s="153" t="s">
        <v>130</v>
      </c>
      <c r="AX404" s="153"/>
      <c r="AY404" s="153"/>
      <c r="AZ404" s="153"/>
      <c r="BA404" s="153"/>
      <c r="BB404" s="153"/>
      <c r="BC404" s="153"/>
      <c r="BD404" s="153"/>
      <c r="BE404" s="153"/>
      <c r="BF404" s="13" t="s">
        <v>129</v>
      </c>
      <c r="BG404" s="13" t="s">
        <v>128</v>
      </c>
      <c r="BH404" s="153" t="s">
        <v>130</v>
      </c>
      <c r="BI404" s="13" t="s">
        <v>159</v>
      </c>
      <c r="BJ404" s="12"/>
      <c r="BK404" s="227"/>
      <c r="BL404" s="349">
        <f>IF(BL401="yes",0.5,1)</f>
        <v>1</v>
      </c>
      <c r="BM404" s="12"/>
      <c r="BN404" s="285"/>
      <c r="BO404" s="372">
        <f>VLOOKUP('F&amp;ARatesCalc'!$B$1,'F&amp;ARatesCalc'!$A$3:$B$5,2,FALSE)</f>
        <v>0.56999999999999995</v>
      </c>
    </row>
    <row r="405" spans="1:67" x14ac:dyDescent="0.25">
      <c r="A405" s="145"/>
      <c r="B405" s="12"/>
      <c r="C405" s="12"/>
      <c r="D405" s="12"/>
      <c r="E405" s="12"/>
      <c r="F405" s="12"/>
      <c r="G405" s="178" t="s">
        <v>430</v>
      </c>
      <c r="H405" s="178" t="str">
        <f>IF(B407="yes",$C$4,A409)</f>
        <v>Sept</v>
      </c>
      <c r="I405" s="12"/>
      <c r="J405" s="12"/>
      <c r="K405" s="12"/>
      <c r="L405" s="12"/>
      <c r="M405" s="129">
        <f>'Rate Tables'!$P$17</f>
        <v>910</v>
      </c>
      <c r="N405" s="146">
        <f>(K397*L397)*F397</f>
        <v>0</v>
      </c>
      <c r="O405" s="154">
        <f>M405*N405</f>
        <v>0</v>
      </c>
      <c r="P405" s="12"/>
      <c r="Q405" s="12"/>
      <c r="R405" s="12"/>
      <c r="S405" s="12"/>
      <c r="T405" s="12"/>
      <c r="U405" s="12"/>
      <c r="V405" s="12"/>
      <c r="W405" s="12"/>
      <c r="X405" s="12"/>
      <c r="Y405" s="129">
        <f>'Rate Tables'!$P$18</f>
        <v>910</v>
      </c>
      <c r="Z405" s="146">
        <f>U397*V397*F397</f>
        <v>0</v>
      </c>
      <c r="AA405" s="125">
        <f>Y405*Z405</f>
        <v>0</v>
      </c>
      <c r="AB405" s="12"/>
      <c r="AC405" s="12"/>
      <c r="AD405" s="12"/>
      <c r="AE405" s="12"/>
      <c r="AF405" s="12"/>
      <c r="AG405" s="12"/>
      <c r="AH405" s="12"/>
      <c r="AI405" s="12"/>
      <c r="AJ405" s="129">
        <f>'Rate Tables'!$P$19</f>
        <v>910</v>
      </c>
      <c r="AK405" s="146">
        <f>AG397*AH397*F397</f>
        <v>0</v>
      </c>
      <c r="AL405" s="125">
        <f>AJ405*AK405</f>
        <v>0</v>
      </c>
      <c r="AM405" s="11"/>
      <c r="AN405" s="12"/>
      <c r="AO405" s="12"/>
      <c r="AP405" s="12"/>
      <c r="AQ405" s="12"/>
      <c r="AR405" s="12"/>
      <c r="AS405" s="12"/>
      <c r="AT405" s="12"/>
      <c r="AU405" s="129">
        <f>'Rate Tables'!$P$20</f>
        <v>928.2</v>
      </c>
      <c r="AV405" s="146">
        <f>AR397*AS397*F397</f>
        <v>0</v>
      </c>
      <c r="AW405" s="125">
        <f>AU405*AV405</f>
        <v>0</v>
      </c>
      <c r="AX405" s="125"/>
      <c r="AY405" s="125"/>
      <c r="AZ405" s="125"/>
      <c r="BA405" s="125"/>
      <c r="BB405" s="125"/>
      <c r="BC405" s="125"/>
      <c r="BD405" s="125"/>
      <c r="BE405" s="125"/>
      <c r="BF405" s="129">
        <f>'Rate Tables'!$P$21</f>
        <v>946.76</v>
      </c>
      <c r="BG405" s="146">
        <f>BC397*BD397*F397</f>
        <v>0</v>
      </c>
      <c r="BH405" s="125">
        <f>BF405*BG405</f>
        <v>0</v>
      </c>
      <c r="BI405" s="19">
        <f>VLOOKUP(B359,'Lookup Tables'!$AK$22:$AM$24,3,0)</f>
        <v>1</v>
      </c>
      <c r="BJ405" s="12"/>
      <c r="BK405" s="307"/>
      <c r="BL405" s="125"/>
      <c r="BM405" s="12"/>
      <c r="BN405" s="285"/>
      <c r="BO405" s="12" t="s">
        <v>417</v>
      </c>
    </row>
    <row r="406" spans="1:67" x14ac:dyDescent="0.25">
      <c r="A406" s="145"/>
      <c r="B406" s="12"/>
      <c r="C406" s="12"/>
      <c r="D406" s="12"/>
      <c r="E406" s="12"/>
      <c r="F406" s="12"/>
      <c r="G406" s="818" t="s">
        <v>665</v>
      </c>
      <c r="H406" s="11">
        <f>IF(H409&lt;$C$5,H409,$C$5)</f>
        <v>12</v>
      </c>
      <c r="I406" s="178">
        <f>IF(B409&lt;=H409,B409,H409)</f>
        <v>0</v>
      </c>
      <c r="J406" s="12"/>
      <c r="K406" s="12"/>
      <c r="L406" s="12"/>
      <c r="M406" s="129">
        <f>'Rate Tables'!$P$18</f>
        <v>910</v>
      </c>
      <c r="N406" s="146">
        <f>K399*L399*F399</f>
        <v>0</v>
      </c>
      <c r="O406" s="154">
        <f>M406*N406</f>
        <v>0</v>
      </c>
      <c r="P406" s="12"/>
      <c r="Q406" s="12"/>
      <c r="R406" s="12"/>
      <c r="S406" s="12"/>
      <c r="T406" s="12"/>
      <c r="U406" s="12"/>
      <c r="V406" s="12"/>
      <c r="W406" s="12"/>
      <c r="X406" s="12"/>
      <c r="Y406" s="129">
        <f>'Rate Tables'!$P$19</f>
        <v>910</v>
      </c>
      <c r="Z406" s="146">
        <f>U399*V399*F399</f>
        <v>0</v>
      </c>
      <c r="AA406" s="125">
        <f>Y406*Z406</f>
        <v>0</v>
      </c>
      <c r="AB406" s="12"/>
      <c r="AC406" s="12"/>
      <c r="AD406" s="12"/>
      <c r="AE406" s="12"/>
      <c r="AF406" s="12"/>
      <c r="AG406" s="12"/>
      <c r="AH406" s="12"/>
      <c r="AI406" s="12"/>
      <c r="AJ406" s="129">
        <f>'Rate Tables'!$P$20</f>
        <v>928.2</v>
      </c>
      <c r="AK406" s="146">
        <f>AG399*AH399*F399</f>
        <v>0</v>
      </c>
      <c r="AL406" s="125">
        <f>AJ406*AK406</f>
        <v>0</v>
      </c>
      <c r="AM406" s="11"/>
      <c r="AN406" s="12"/>
      <c r="AO406" s="12"/>
      <c r="AP406" s="12"/>
      <c r="AQ406" s="12"/>
      <c r="AR406" s="12"/>
      <c r="AS406" s="12"/>
      <c r="AT406" s="12"/>
      <c r="AU406" s="129">
        <f>'Rate Tables'!$P$21</f>
        <v>946.76</v>
      </c>
      <c r="AV406" s="146">
        <f>AR399*AS399*F399</f>
        <v>0</v>
      </c>
      <c r="AW406" s="125">
        <f>AU406*AV406</f>
        <v>0</v>
      </c>
      <c r="AX406" s="125"/>
      <c r="AY406" s="125"/>
      <c r="AZ406" s="125"/>
      <c r="BA406" s="125"/>
      <c r="BB406" s="125"/>
      <c r="BC406" s="125"/>
      <c r="BD406" s="125"/>
      <c r="BE406" s="125"/>
      <c r="BF406" s="129">
        <f>'Rate Tables'!$P$22</f>
        <v>965.7</v>
      </c>
      <c r="BG406" s="146">
        <f>BC399*BD399*F399</f>
        <v>0</v>
      </c>
      <c r="BH406" s="125">
        <f>BF406*BG406</f>
        <v>0</v>
      </c>
      <c r="BI406" s="12" t="s">
        <v>244</v>
      </c>
      <c r="BJ406" s="12"/>
      <c r="BK406" s="307"/>
      <c r="BL406" s="12"/>
      <c r="BM406" s="12"/>
      <c r="BN406" s="285"/>
      <c r="BO406" s="12">
        <f>(BN407+BN408)*BO404</f>
        <v>0</v>
      </c>
    </row>
    <row r="407" spans="1:67" x14ac:dyDescent="0.25">
      <c r="A407" s="377" t="s">
        <v>431</v>
      </c>
      <c r="B407" s="375" t="str">
        <f>Personnel!U90</f>
        <v>YES</v>
      </c>
      <c r="C407" s="12"/>
      <c r="D407" s="12"/>
      <c r="E407" s="12"/>
      <c r="F407" s="12"/>
      <c r="G407" s="818" t="s">
        <v>559</v>
      </c>
      <c r="H407" s="12">
        <f>BK380</f>
        <v>0</v>
      </c>
      <c r="I407" s="12"/>
      <c r="J407" s="12"/>
      <c r="K407" s="12"/>
      <c r="L407" s="12"/>
      <c r="M407" s="129">
        <f>'Rate Tables'!$P$19</f>
        <v>910</v>
      </c>
      <c r="N407" s="146">
        <f>K401*L401*F401</f>
        <v>0</v>
      </c>
      <c r="O407" s="154">
        <f>M407*N407</f>
        <v>0</v>
      </c>
      <c r="P407" s="12"/>
      <c r="Q407" s="12"/>
      <c r="R407" s="12"/>
      <c r="S407" s="12"/>
      <c r="T407" s="12"/>
      <c r="U407" s="12"/>
      <c r="V407" s="12"/>
      <c r="W407" s="12"/>
      <c r="X407" s="12"/>
      <c r="Y407" s="129">
        <f>'Rate Tables'!$P$20</f>
        <v>928.2</v>
      </c>
      <c r="Z407" s="146">
        <f>U401*V401*F401</f>
        <v>10</v>
      </c>
      <c r="AA407" s="125">
        <f>Y407*Z407</f>
        <v>9282</v>
      </c>
      <c r="AB407" s="12"/>
      <c r="AC407" s="12"/>
      <c r="AD407" s="12"/>
      <c r="AE407" s="12"/>
      <c r="AF407" s="12"/>
      <c r="AG407" s="12"/>
      <c r="AH407" s="12"/>
      <c r="AI407" s="12"/>
      <c r="AJ407" s="129">
        <f>'Rate Tables'!$P$21</f>
        <v>946.76</v>
      </c>
      <c r="AK407" s="146">
        <f>AG401*AH401*F401</f>
        <v>2</v>
      </c>
      <c r="AL407" s="125">
        <f>AJ407*AK407</f>
        <v>1893.52</v>
      </c>
      <c r="AM407" s="11"/>
      <c r="AN407" s="12"/>
      <c r="AO407" s="12"/>
      <c r="AP407" s="12"/>
      <c r="AQ407" s="12"/>
      <c r="AR407" s="12"/>
      <c r="AS407" s="12"/>
      <c r="AT407" s="12"/>
      <c r="AU407" s="129">
        <f>'Rate Tables'!$P$22</f>
        <v>965.7</v>
      </c>
      <c r="AV407" s="146">
        <f>AR401*AS401*F401</f>
        <v>0</v>
      </c>
      <c r="AW407" s="125">
        <f>AU407*AV407</f>
        <v>0</v>
      </c>
      <c r="AX407" s="125"/>
      <c r="AY407" s="125"/>
      <c r="AZ407" s="125"/>
      <c r="BA407" s="125"/>
      <c r="BB407" s="125"/>
      <c r="BC407" s="125"/>
      <c r="BD407" s="125"/>
      <c r="BE407" s="125"/>
      <c r="BF407" s="129">
        <f>'Rate Tables'!$P$23</f>
        <v>985.01</v>
      </c>
      <c r="BG407" s="146">
        <f>BC401*BD401*F401</f>
        <v>0</v>
      </c>
      <c r="BH407" s="125">
        <f>BF407*BG407</f>
        <v>0</v>
      </c>
      <c r="BI407" s="12">
        <f>IF(BN407&gt;=1,1,0)</f>
        <v>0</v>
      </c>
      <c r="BJ407" s="12"/>
      <c r="BK407" s="227"/>
      <c r="BL407" s="226"/>
      <c r="BM407" s="278" t="s">
        <v>96</v>
      </c>
      <c r="BN407" s="285">
        <f>BN361+BN378+BN395</f>
        <v>0</v>
      </c>
      <c r="BO407" s="15"/>
    </row>
    <row r="408" spans="1:67" ht="15.75" thickBot="1" x14ac:dyDescent="0.3">
      <c r="A408" s="296" t="s">
        <v>439</v>
      </c>
      <c r="B408" s="114" t="s">
        <v>427</v>
      </c>
      <c r="C408" s="12"/>
      <c r="D408" s="12"/>
      <c r="E408" s="12"/>
      <c r="F408" s="12"/>
      <c r="G408" s="818" t="s">
        <v>560</v>
      </c>
      <c r="H408" s="178">
        <f>VLOOKUP(H397,'Lookup Tables'!$L$62:$Y$74,MATCH(G397,'Lookup Tables'!$L$62:$Y$62,FALSE))</f>
        <v>65</v>
      </c>
      <c r="I408" s="12"/>
      <c r="J408" s="12"/>
      <c r="K408" s="12"/>
      <c r="L408" s="12"/>
      <c r="M408" s="129">
        <f>'Rate Tables'!$P$20</f>
        <v>928.2</v>
      </c>
      <c r="N408" s="146">
        <f>K403*L403*F403</f>
        <v>0</v>
      </c>
      <c r="O408" s="154">
        <f>M408*N408</f>
        <v>0</v>
      </c>
      <c r="P408" s="12"/>
      <c r="Q408" s="12"/>
      <c r="R408" s="12"/>
      <c r="S408" s="12"/>
      <c r="T408" s="12"/>
      <c r="U408" s="12"/>
      <c r="V408" s="12"/>
      <c r="W408" s="12"/>
      <c r="X408" s="12"/>
      <c r="Y408" s="129">
        <f>'Rate Tables'!$P$21</f>
        <v>946.76</v>
      </c>
      <c r="Z408" s="146">
        <f>U403*V403*F403</f>
        <v>0</v>
      </c>
      <c r="AA408" s="125">
        <f>Y408*Z408</f>
        <v>0</v>
      </c>
      <c r="AB408" s="12"/>
      <c r="AC408" s="12"/>
      <c r="AD408" s="12"/>
      <c r="AE408" s="12"/>
      <c r="AF408" s="12"/>
      <c r="AG408" s="12"/>
      <c r="AH408" s="12"/>
      <c r="AI408" s="12"/>
      <c r="AJ408" s="129">
        <f>'Rate Tables'!$P$22</f>
        <v>965.7</v>
      </c>
      <c r="AK408" s="146">
        <f>AG403*AH403*F403</f>
        <v>0</v>
      </c>
      <c r="AL408" s="125">
        <f>AJ408*AK408</f>
        <v>0</v>
      </c>
      <c r="AM408" s="12"/>
      <c r="AN408" s="12"/>
      <c r="AO408" s="12"/>
      <c r="AP408" s="12"/>
      <c r="AQ408" s="12"/>
      <c r="AR408" s="12"/>
      <c r="AS408" s="12"/>
      <c r="AT408" s="12"/>
      <c r="AU408" s="129">
        <f>'Rate Tables'!$P$23</f>
        <v>985.01</v>
      </c>
      <c r="AV408" s="146">
        <f>AR403*AS403*F403</f>
        <v>0</v>
      </c>
      <c r="AW408" s="125">
        <f>AU408*AV408</f>
        <v>0</v>
      </c>
      <c r="AX408" s="12"/>
      <c r="AY408" s="12"/>
      <c r="AZ408" s="12"/>
      <c r="BA408" s="12"/>
      <c r="BB408" s="12"/>
      <c r="BC408" s="12"/>
      <c r="BD408" s="12"/>
      <c r="BE408" s="12"/>
      <c r="BF408" s="129">
        <f>'Rate Tables'!$P$24</f>
        <v>1004.71</v>
      </c>
      <c r="BG408" s="146">
        <f>BC403*BD403*F403</f>
        <v>0</v>
      </c>
      <c r="BH408" s="125">
        <f>BF408*BG408</f>
        <v>0</v>
      </c>
      <c r="BI408" s="12"/>
      <c r="BJ408" s="12"/>
      <c r="BK408" s="227"/>
      <c r="BL408" s="224"/>
      <c r="BM408" s="278" t="s">
        <v>415</v>
      </c>
      <c r="BN408" s="285">
        <f>BN363+BN379+BN397</f>
        <v>0</v>
      </c>
      <c r="BO408" s="15"/>
    </row>
    <row r="409" spans="1:67" ht="15.75" thickBot="1" x14ac:dyDescent="0.3">
      <c r="A409" s="380">
        <f>Personnel!U91</f>
        <v>0</v>
      </c>
      <c r="B409" s="273">
        <f>Personnel!U92</f>
        <v>0</v>
      </c>
      <c r="C409" s="12"/>
      <c r="D409" s="12"/>
      <c r="E409" s="12"/>
      <c r="F409" s="12"/>
      <c r="G409" s="818" t="s">
        <v>555</v>
      </c>
      <c r="H409" s="175">
        <f>VLOOKUP($E$4,'Lookup Tables'!$L$46:$AA$58,MATCH($H$363,'Lookup Tables'!$L$46:$X$46),FALSE)</f>
        <v>12</v>
      </c>
      <c r="I409" s="12"/>
      <c r="J409" s="12"/>
      <c r="K409" s="12"/>
      <c r="L409" s="12"/>
      <c r="M409" s="12"/>
      <c r="N409" s="12"/>
      <c r="O409" s="155"/>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227"/>
      <c r="BL409" s="224"/>
      <c r="BM409" s="278" t="s">
        <v>185</v>
      </c>
      <c r="BN409" s="285">
        <f>(BN365+BN381+BN399)*BI407</f>
        <v>0</v>
      </c>
      <c r="BO409" s="373">
        <f>BN407+BN408+BN409+BO406</f>
        <v>0</v>
      </c>
    </row>
    <row r="410" spans="1:67" ht="15.75" thickBot="1" x14ac:dyDescent="0.3">
      <c r="A410" s="148"/>
      <c r="B410" s="149"/>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9"/>
      <c r="AL410" s="149"/>
      <c r="AM410" s="149"/>
      <c r="AN410" s="149"/>
      <c r="AO410" s="149"/>
      <c r="AP410" s="149"/>
      <c r="AQ410" s="149"/>
      <c r="AR410" s="149"/>
      <c r="AS410" s="149"/>
      <c r="AT410" s="149"/>
      <c r="AU410" s="149"/>
      <c r="AV410" s="149"/>
      <c r="AW410" s="149"/>
      <c r="AX410" s="149"/>
      <c r="AY410" s="149"/>
      <c r="AZ410" s="149"/>
      <c r="BA410" s="149"/>
      <c r="BB410" s="149"/>
      <c r="BC410" s="149"/>
      <c r="BD410" s="149"/>
      <c r="BE410" s="149"/>
      <c r="BF410" s="149"/>
      <c r="BG410" s="149"/>
      <c r="BH410" s="149"/>
      <c r="BI410" s="149"/>
      <c r="BJ410" s="149"/>
      <c r="BK410" s="280"/>
      <c r="BL410" s="149"/>
      <c r="BM410" s="149"/>
      <c r="BN410" s="281"/>
      <c r="BO410" s="374"/>
    </row>
    <row r="411" spans="1:67" x14ac:dyDescent="0.25">
      <c r="A411" s="257" t="s">
        <v>198</v>
      </c>
      <c r="B411" s="359" t="str">
        <f>Personnel!C98</f>
        <v>12 Month</v>
      </c>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4"/>
      <c r="AL411" s="144"/>
      <c r="AM411" s="144"/>
      <c r="AN411" s="144"/>
      <c r="AO411" s="144"/>
      <c r="AP411" s="144"/>
      <c r="AQ411" s="144"/>
      <c r="AR411" s="144"/>
      <c r="AS411" s="144"/>
      <c r="AT411" s="144"/>
      <c r="AU411" s="144"/>
      <c r="AV411" s="144"/>
      <c r="AW411" s="144"/>
      <c r="AX411" s="144"/>
      <c r="AY411" s="144"/>
      <c r="AZ411" s="144"/>
      <c r="BA411" s="144"/>
      <c r="BB411" s="144"/>
      <c r="BC411" s="144"/>
      <c r="BD411" s="144"/>
      <c r="BE411" s="144"/>
      <c r="BF411" s="144"/>
      <c r="BG411" s="144"/>
      <c r="BH411" s="144"/>
      <c r="BI411" s="144"/>
      <c r="BJ411" s="144"/>
      <c r="BK411" s="282"/>
      <c r="BL411" s="144"/>
      <c r="BM411" s="144"/>
      <c r="BN411" s="283"/>
      <c r="BO411" s="12"/>
    </row>
    <row r="412" spans="1:67" ht="26.25" x14ac:dyDescent="0.25">
      <c r="A412" s="258" t="s">
        <v>174</v>
      </c>
      <c r="B412" s="155" t="s">
        <v>12</v>
      </c>
      <c r="C412" s="259" t="s">
        <v>605</v>
      </c>
      <c r="D412" s="12"/>
      <c r="E412" s="12"/>
      <c r="F412" s="12"/>
      <c r="G412" s="12" t="s">
        <v>182</v>
      </c>
      <c r="H412" s="12"/>
      <c r="I412" s="12"/>
      <c r="J412" s="12"/>
      <c r="K412" s="12"/>
      <c r="L412" s="12"/>
      <c r="M412" s="12" t="s">
        <v>167</v>
      </c>
      <c r="N412" s="12"/>
      <c r="O412" s="12">
        <v>21</v>
      </c>
      <c r="P412" s="12"/>
      <c r="Q412" s="12"/>
      <c r="R412" s="12"/>
      <c r="S412" s="12"/>
      <c r="T412" s="12"/>
      <c r="U412" s="12"/>
      <c r="V412" s="12"/>
      <c r="W412" s="12"/>
      <c r="X412" s="12"/>
      <c r="Y412" s="12" t="s">
        <v>168</v>
      </c>
      <c r="Z412" s="12"/>
      <c r="AA412" s="12">
        <v>22</v>
      </c>
      <c r="AB412" s="12"/>
      <c r="AC412" s="12"/>
      <c r="AD412" s="12"/>
      <c r="AE412" s="12"/>
      <c r="AF412" s="12"/>
      <c r="AG412" s="12"/>
      <c r="AH412" s="12"/>
      <c r="AI412" s="12"/>
      <c r="AJ412" s="12" t="s">
        <v>169</v>
      </c>
      <c r="AK412" s="12"/>
      <c r="AL412" s="12">
        <v>23</v>
      </c>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227"/>
      <c r="BL412" s="12"/>
      <c r="BM412" s="12"/>
      <c r="BN412" s="275"/>
      <c r="BO412" s="12"/>
    </row>
    <row r="413" spans="1:67" x14ac:dyDescent="0.25">
      <c r="A413" s="356">
        <f>Personnel!C99</f>
        <v>0</v>
      </c>
      <c r="B413" s="357">
        <f>Personnel!C100</f>
        <v>0</v>
      </c>
      <c r="C413" s="115">
        <f>(B413*9)*2</f>
        <v>0</v>
      </c>
      <c r="D413" s="12"/>
      <c r="E413" s="12"/>
      <c r="F413" s="12"/>
      <c r="G413" s="12"/>
      <c r="H413" s="12"/>
      <c r="I413" s="12"/>
      <c r="J413" s="12"/>
      <c r="K413" s="12"/>
      <c r="L413" s="12"/>
      <c r="M413" s="12"/>
      <c r="N413" s="12"/>
      <c r="O413" s="12">
        <v>22</v>
      </c>
      <c r="P413" s="12"/>
      <c r="Q413" s="12"/>
      <c r="R413" s="12"/>
      <c r="S413" s="12"/>
      <c r="T413" s="12"/>
      <c r="U413" s="12"/>
      <c r="V413" s="12"/>
      <c r="W413" s="12"/>
      <c r="X413" s="12"/>
      <c r="Y413" s="12"/>
      <c r="Z413" s="12"/>
      <c r="AA413" s="12">
        <v>23</v>
      </c>
      <c r="AB413" s="12"/>
      <c r="AC413" s="12"/>
      <c r="AD413" s="12"/>
      <c r="AE413" s="12"/>
      <c r="AF413" s="12"/>
      <c r="AG413" s="12"/>
      <c r="AH413" s="12"/>
      <c r="AI413" s="12"/>
      <c r="AJ413" s="12"/>
      <c r="AK413" s="12"/>
      <c r="AL413" s="12">
        <v>24</v>
      </c>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306" t="s">
        <v>412</v>
      </c>
      <c r="BL413" s="348">
        <f>Personnel!W99</f>
        <v>0</v>
      </c>
      <c r="BM413" s="276" t="s">
        <v>414</v>
      </c>
      <c r="BN413" s="285">
        <f>(N415+Z415+AK415+AV415+BG415+N417+Z417+AK417+AV417+BG417+N419+Z419+AK419+AV419+BG419+N421+Z421+AK421+AV421+BG421)*BI415</f>
        <v>0</v>
      </c>
      <c r="BO413" s="15"/>
    </row>
    <row r="414" spans="1:67" x14ac:dyDescent="0.25">
      <c r="A414" s="145"/>
      <c r="B414" s="12"/>
      <c r="C414" s="117" t="s">
        <v>30</v>
      </c>
      <c r="D414" s="12"/>
      <c r="E414" s="13" t="s">
        <v>16</v>
      </c>
      <c r="F414" s="13" t="s">
        <v>42</v>
      </c>
      <c r="G414" s="13" t="s">
        <v>41</v>
      </c>
      <c r="H414" s="65" t="s">
        <v>77</v>
      </c>
      <c r="I414" s="64" t="s">
        <v>90</v>
      </c>
      <c r="J414" s="63" t="s">
        <v>70</v>
      </c>
      <c r="K414" s="52" t="s">
        <v>93</v>
      </c>
      <c r="L414" s="13" t="s">
        <v>35</v>
      </c>
      <c r="M414" s="13" t="s">
        <v>82</v>
      </c>
      <c r="N414" s="13" t="s">
        <v>31</v>
      </c>
      <c r="O414" s="14" t="s">
        <v>69</v>
      </c>
      <c r="P414" s="13" t="s">
        <v>72</v>
      </c>
      <c r="Q414" s="65" t="s">
        <v>80</v>
      </c>
      <c r="R414" s="62" t="s">
        <v>81</v>
      </c>
      <c r="S414" s="65" t="s">
        <v>77</v>
      </c>
      <c r="T414" s="600" t="s">
        <v>83</v>
      </c>
      <c r="U414" s="63" t="s">
        <v>70</v>
      </c>
      <c r="V414" s="13" t="s">
        <v>91</v>
      </c>
      <c r="W414" s="13" t="s">
        <v>43</v>
      </c>
      <c r="X414" s="13" t="s">
        <v>53</v>
      </c>
      <c r="Y414" s="13" t="s">
        <v>68</v>
      </c>
      <c r="Z414" s="13" t="s">
        <v>32</v>
      </c>
      <c r="AA414" s="14" t="s">
        <v>69</v>
      </c>
      <c r="AB414" s="13" t="s">
        <v>72</v>
      </c>
      <c r="AC414" s="13" t="s">
        <v>80</v>
      </c>
      <c r="AD414" s="62" t="s">
        <v>81</v>
      </c>
      <c r="AE414" s="65" t="s">
        <v>77</v>
      </c>
      <c r="AF414" s="63" t="s">
        <v>70</v>
      </c>
      <c r="AG414" s="13" t="s">
        <v>92</v>
      </c>
      <c r="AH414" s="13" t="s">
        <v>44</v>
      </c>
      <c r="AI414" s="13" t="s">
        <v>78</v>
      </c>
      <c r="AJ414" s="13" t="s">
        <v>68</v>
      </c>
      <c r="AK414" s="13" t="s">
        <v>33</v>
      </c>
      <c r="AL414" s="14" t="s">
        <v>69</v>
      </c>
      <c r="AM414" s="13" t="s">
        <v>72</v>
      </c>
      <c r="AN414" s="13" t="s">
        <v>80</v>
      </c>
      <c r="AO414" s="62" t="s">
        <v>81</v>
      </c>
      <c r="AP414" s="65" t="s">
        <v>77</v>
      </c>
      <c r="AQ414" s="63" t="s">
        <v>70</v>
      </c>
      <c r="AR414" s="13" t="s">
        <v>92</v>
      </c>
      <c r="AS414" s="13" t="s">
        <v>44</v>
      </c>
      <c r="AT414" s="13" t="s">
        <v>78</v>
      </c>
      <c r="AU414" s="13" t="s">
        <v>68</v>
      </c>
      <c r="AV414" s="13" t="s">
        <v>33</v>
      </c>
      <c r="AW414" s="14" t="s">
        <v>69</v>
      </c>
      <c r="AX414" s="13" t="s">
        <v>72</v>
      </c>
      <c r="AY414" s="13" t="s">
        <v>80</v>
      </c>
      <c r="AZ414" s="62" t="s">
        <v>81</v>
      </c>
      <c r="BA414" s="65" t="s">
        <v>77</v>
      </c>
      <c r="BB414" s="63" t="s">
        <v>70</v>
      </c>
      <c r="BC414" s="13" t="s">
        <v>92</v>
      </c>
      <c r="BD414" s="13" t="s">
        <v>44</v>
      </c>
      <c r="BE414" s="13" t="s">
        <v>78</v>
      </c>
      <c r="BF414" s="13" t="s">
        <v>68</v>
      </c>
      <c r="BG414" s="13" t="s">
        <v>33</v>
      </c>
      <c r="BH414" s="14" t="s">
        <v>69</v>
      </c>
      <c r="BI414" s="13" t="s">
        <v>159</v>
      </c>
      <c r="BJ414" s="12"/>
      <c r="BK414" s="227"/>
      <c r="BL414" s="349"/>
      <c r="BM414" s="227"/>
      <c r="BN414" s="275"/>
      <c r="BO414" s="12"/>
    </row>
    <row r="415" spans="1:67" x14ac:dyDescent="0.25">
      <c r="A415" s="145"/>
      <c r="B415" s="12"/>
      <c r="C415" s="115"/>
      <c r="D415" s="12"/>
      <c r="E415" s="118">
        <f>BL413</f>
        <v>0</v>
      </c>
      <c r="F415" s="19">
        <f>IF($D$4=2022,1,0)</f>
        <v>0</v>
      </c>
      <c r="G415" s="178">
        <f>IF($B$461="Yes",$C$5,$I460)</f>
        <v>12</v>
      </c>
      <c r="H415" s="36">
        <f>VLOOKUP(H459,'Lookup Tables'!$A$22:$B$33,2,FALSE)</f>
        <v>3</v>
      </c>
      <c r="I415" s="192">
        <f>VLOOKUP($E$4,'Lookup Tables'!$AB$46:$AN$58,MATCH($H415,'Lookup Tables'!$AB$46:$AN$46),FALSE)</f>
        <v>12</v>
      </c>
      <c r="J415" s="33">
        <f>VLOOKUP(H415,'Lookup Tables'!$A$3:$AA$16,MATCH(PersonCalcYr3!$G415,'Lookup Tables'!$A$3:$AA$3),FALSE)</f>
        <v>1.5161</v>
      </c>
      <c r="K415" s="54">
        <f>VLOOKUP($H459,'Lookup Tables'!$K$23:$L$34,2,FALSE)</f>
        <v>0</v>
      </c>
      <c r="L415" s="12">
        <f>IF(G415&lt;=K415,G415,K415)</f>
        <v>0</v>
      </c>
      <c r="M415" s="195">
        <f>IF(12-I415&gt;=1,1,0)</f>
        <v>0</v>
      </c>
      <c r="N415" s="15">
        <f>(('Rate Tables'!B89*PersonCalcYr3!E415)*PersonCalcYr3!L415)*PersonCalcYr3!F415*M415</f>
        <v>0</v>
      </c>
      <c r="O415" s="28">
        <f>G415-((J415+L415)*M415)</f>
        <v>12</v>
      </c>
      <c r="P415" s="8">
        <f>IF(O415&lt;0,O415*0,1)*O415</f>
        <v>12</v>
      </c>
      <c r="Q415" s="120">
        <f>VLOOKUP($H459,'Lookup Tables'!$A$22:$B$33,2,FALSE)+(L415*M415)+(J415*M415)</f>
        <v>3</v>
      </c>
      <c r="R415" s="121" t="str">
        <f>VLOOKUP(Q415,'Lookup Tables'!$A$38:$B$151,2,FALSE)</f>
        <v>Sept</v>
      </c>
      <c r="S415" s="36">
        <f>VLOOKUP(R415,'Lookup Tables'!$A$22:$B$33,2,FALSE)</f>
        <v>3</v>
      </c>
      <c r="T415" s="599">
        <f>VLOOKUP($E$4,'Lookup Tables'!$AB$63:$AN$75,MATCH(PersonCalcYr3!$S415,'Lookup Tables'!$AB$63:$AN$63),FALSE)</f>
        <v>0.5161</v>
      </c>
      <c r="U415" s="34">
        <f>VLOOKUP(S415,'Lookup Tables'!$A$3:$AA$16,MATCH(PersonCalcYr3!$P415,'Lookup Tables'!$A$3:$AA$3),FALSE)</f>
        <v>1.5161</v>
      </c>
      <c r="V415" s="12">
        <f>9-T415</f>
        <v>8.4839000000000002</v>
      </c>
      <c r="W415" s="122">
        <f>P415-U415</f>
        <v>10.4839</v>
      </c>
      <c r="X415" s="119">
        <f>IF(V415&lt;=W415,V415,W415)</f>
        <v>8.4839000000000002</v>
      </c>
      <c r="Y415" s="195">
        <f>IF(12-T415-U415-X415&gt;=0,1,0)</f>
        <v>1</v>
      </c>
      <c r="Z415" s="20">
        <f>((('Rate Tables'!C89*$E415)*PersonCalcYr3!$X415)*$F415)*Y415</f>
        <v>0</v>
      </c>
      <c r="AA415" s="197">
        <f>O415-(((U415*U423)+X415)*Y415)</f>
        <v>2</v>
      </c>
      <c r="AB415" s="8">
        <f>IF(AA415&lt;0,AA415*0,1)*AA415</f>
        <v>2</v>
      </c>
      <c r="AC415" s="601">
        <f>S415+(X415*Y415)+((U415*U423)*Y415)</f>
        <v>13</v>
      </c>
      <c r="AD415" s="121" t="str">
        <f>VLOOKUP(AC415,'Lookup Tables'!$A$38:$B$151,2,FALSE)</f>
        <v>July</v>
      </c>
      <c r="AE415" s="36">
        <f>VLOOKUP(AD415,'Lookup Tables'!$A$22:$B$33,2,FALSE)</f>
        <v>1</v>
      </c>
      <c r="AF415" s="34">
        <f>VLOOKUP(AE415,'Lookup Tables'!$A$3:$AA$16,MATCH(PersonCalcYr3!AB415,'Lookup Tables'!$A$3:$AA$3),FALSE)</f>
        <v>1.4839</v>
      </c>
      <c r="AG415" s="12">
        <v>9</v>
      </c>
      <c r="AH415" s="122">
        <f>AB415-AF415</f>
        <v>0.5161</v>
      </c>
      <c r="AI415" s="119">
        <f>IF(AG415&lt;=AH415,AG415,AH415)</f>
        <v>0.5161</v>
      </c>
      <c r="AJ415" s="119">
        <f>IF((AG415+AF415)&lt;=0,0,1)</f>
        <v>1</v>
      </c>
      <c r="AK415" s="124">
        <f>((('Rate Tables'!D89*$E415)*PersonCalcYr3!AI415)*$F415)*AJ415</f>
        <v>0</v>
      </c>
      <c r="AL415" s="28">
        <f>AB415-AF415-AI415</f>
        <v>0</v>
      </c>
      <c r="AM415" s="8">
        <f>IF(AL415&lt;0,AL415*0,1)*AL415</f>
        <v>0</v>
      </c>
      <c r="AN415" s="601">
        <f>AE415+(AI415*AJ415)+((AF415*AF423)*AJ415)</f>
        <v>3</v>
      </c>
      <c r="AO415" s="121" t="str">
        <f>VLOOKUP(AN415,'Lookup Tables'!$A$38:$B$151,2,FALSE)</f>
        <v>Sept</v>
      </c>
      <c r="AP415" s="36">
        <f>VLOOKUP(AO415,'Lookup Tables'!$A$22:$B$33,2,FALSE)</f>
        <v>3</v>
      </c>
      <c r="AQ415" s="34">
        <f>VLOOKUP(AP415,'Lookup Tables'!$A$3:$AA$16,MATCH(PersonCalcYr3!AM415,'Lookup Tables'!$A$3:$AA$3),FALSE)</f>
        <v>0</v>
      </c>
      <c r="AR415" s="12">
        <v>9</v>
      </c>
      <c r="AS415" s="122">
        <f>AM415-AQ415</f>
        <v>0</v>
      </c>
      <c r="AT415" s="119">
        <f>IF(AR415&lt;=AS415,AR415,AS415)</f>
        <v>0</v>
      </c>
      <c r="AU415" s="119">
        <f>IF((AR415+AQ415)&lt;=0,0,1)</f>
        <v>1</v>
      </c>
      <c r="AV415" s="124">
        <f>((('Rate Tables'!E89*$E415)*PersonCalcYr3!AT415)*$F415)*AU415</f>
        <v>0</v>
      </c>
      <c r="AW415" s="28">
        <f>AM415-AQ415-AT415</f>
        <v>0</v>
      </c>
      <c r="AX415" s="8">
        <f>IF(AW415&lt;0,AW415*0,1)*AW415</f>
        <v>0</v>
      </c>
      <c r="AY415" s="601">
        <f>AP415+(AT415*AU415)+((AQ415*AQ423)*AU415)</f>
        <v>3</v>
      </c>
      <c r="AZ415" s="121" t="str">
        <f>VLOOKUP(AY415,'Lookup Tables'!$A$38:$B$151,2,FALSE)</f>
        <v>Sept</v>
      </c>
      <c r="BA415" s="36">
        <f>VLOOKUP(AZ415,'Lookup Tables'!$A$22:$B$33,2,FALSE)</f>
        <v>3</v>
      </c>
      <c r="BB415" s="34">
        <f>VLOOKUP(BA415,'Lookup Tables'!$A$3:$AA$16,MATCH(PersonCalcYr3!AX415,'Lookup Tables'!$A$3:$AA$3),FALSE)</f>
        <v>0</v>
      </c>
      <c r="BC415" s="12">
        <v>9</v>
      </c>
      <c r="BD415" s="122">
        <f>AX415-BB415</f>
        <v>0</v>
      </c>
      <c r="BE415" s="119">
        <f>IF(BC415&lt;=BD415,BC415,BD415)</f>
        <v>0</v>
      </c>
      <c r="BF415" s="119">
        <f>IF((BC415+BB415)&lt;=0,0,1)</f>
        <v>1</v>
      </c>
      <c r="BG415" s="124">
        <f>((('Rate Tables'!F89*$E415)*PersonCalcYr3!BE415)*$F415)*BF415</f>
        <v>0</v>
      </c>
      <c r="BH415" s="28">
        <f>AX415-BB415-BE415</f>
        <v>0</v>
      </c>
      <c r="BI415" s="19">
        <f>VLOOKUP(B411,'Lookup Tables'!$AK$22:$AM$24,2,0)</f>
        <v>0</v>
      </c>
      <c r="BJ415" s="12"/>
      <c r="BK415" s="227"/>
      <c r="BL415" s="350"/>
      <c r="BM415" s="276" t="s">
        <v>184</v>
      </c>
      <c r="BN415" s="277">
        <f>BN413*'Rate Tables'!P$8</f>
        <v>0</v>
      </c>
      <c r="BO415" s="224"/>
    </row>
    <row r="416" spans="1:67" x14ac:dyDescent="0.25">
      <c r="A416" s="145"/>
      <c r="B416" s="12"/>
      <c r="C416" s="117" t="s">
        <v>597</v>
      </c>
      <c r="D416" s="12"/>
      <c r="E416" s="13" t="s">
        <v>16</v>
      </c>
      <c r="F416" s="13" t="s">
        <v>42</v>
      </c>
      <c r="G416" s="13" t="s">
        <v>41</v>
      </c>
      <c r="H416" s="65" t="s">
        <v>77</v>
      </c>
      <c r="I416" s="64" t="s">
        <v>90</v>
      </c>
      <c r="J416" s="63" t="s">
        <v>70</v>
      </c>
      <c r="K416" s="52" t="s">
        <v>109</v>
      </c>
      <c r="L416" s="13" t="s">
        <v>53</v>
      </c>
      <c r="M416" s="13" t="s">
        <v>82</v>
      </c>
      <c r="N416" s="13" t="s">
        <v>32</v>
      </c>
      <c r="O416" s="14" t="s">
        <v>69</v>
      </c>
      <c r="P416" s="13" t="s">
        <v>72</v>
      </c>
      <c r="Q416" s="65" t="s">
        <v>80</v>
      </c>
      <c r="R416" s="62" t="s">
        <v>81</v>
      </c>
      <c r="S416" s="65" t="s">
        <v>77</v>
      </c>
      <c r="T416" s="600" t="s">
        <v>83</v>
      </c>
      <c r="U416" s="63" t="s">
        <v>70</v>
      </c>
      <c r="V416" s="13" t="s">
        <v>92</v>
      </c>
      <c r="W416" s="13" t="s">
        <v>44</v>
      </c>
      <c r="X416" s="13" t="s">
        <v>78</v>
      </c>
      <c r="Y416" s="13" t="s">
        <v>68</v>
      </c>
      <c r="Z416" s="13" t="s">
        <v>33</v>
      </c>
      <c r="AA416" s="14" t="s">
        <v>69</v>
      </c>
      <c r="AB416" s="13" t="s">
        <v>72</v>
      </c>
      <c r="AC416" s="13" t="s">
        <v>80</v>
      </c>
      <c r="AD416" s="62" t="s">
        <v>81</v>
      </c>
      <c r="AE416" s="65" t="s">
        <v>77</v>
      </c>
      <c r="AF416" s="63" t="s">
        <v>70</v>
      </c>
      <c r="AG416" s="13" t="s">
        <v>94</v>
      </c>
      <c r="AH416" s="13" t="s">
        <v>45</v>
      </c>
      <c r="AI416" s="13" t="s">
        <v>79</v>
      </c>
      <c r="AJ416" s="13" t="s">
        <v>68</v>
      </c>
      <c r="AK416" s="13" t="s">
        <v>34</v>
      </c>
      <c r="AL416" s="14" t="s">
        <v>69</v>
      </c>
      <c r="AM416" s="13" t="s">
        <v>72</v>
      </c>
      <c r="AN416" s="13" t="s">
        <v>80</v>
      </c>
      <c r="AO416" s="62" t="s">
        <v>81</v>
      </c>
      <c r="AP416" s="65" t="s">
        <v>77</v>
      </c>
      <c r="AQ416" s="63" t="s">
        <v>70</v>
      </c>
      <c r="AR416" s="13" t="s">
        <v>94</v>
      </c>
      <c r="AS416" s="13" t="s">
        <v>45</v>
      </c>
      <c r="AT416" s="13" t="s">
        <v>79</v>
      </c>
      <c r="AU416" s="13" t="s">
        <v>68</v>
      </c>
      <c r="AV416" s="13" t="s">
        <v>34</v>
      </c>
      <c r="AW416" s="14" t="s">
        <v>69</v>
      </c>
      <c r="AX416" s="13" t="s">
        <v>72</v>
      </c>
      <c r="AY416" s="13" t="s">
        <v>80</v>
      </c>
      <c r="AZ416" s="62" t="s">
        <v>81</v>
      </c>
      <c r="BA416" s="65" t="s">
        <v>77</v>
      </c>
      <c r="BB416" s="63" t="s">
        <v>70</v>
      </c>
      <c r="BC416" s="13" t="s">
        <v>94</v>
      </c>
      <c r="BD416" s="13" t="s">
        <v>45</v>
      </c>
      <c r="BE416" s="13" t="s">
        <v>79</v>
      </c>
      <c r="BF416" s="13" t="s">
        <v>68</v>
      </c>
      <c r="BG416" s="13" t="s">
        <v>34</v>
      </c>
      <c r="BH416" s="14" t="s">
        <v>69</v>
      </c>
      <c r="BI416" s="13"/>
      <c r="BJ416" s="12"/>
      <c r="BK416" s="227"/>
      <c r="BL416" s="351"/>
      <c r="BM416" s="227"/>
      <c r="BN416" s="275"/>
      <c r="BO416" s="12"/>
    </row>
    <row r="417" spans="1:67" x14ac:dyDescent="0.25">
      <c r="A417" s="145"/>
      <c r="B417" s="12"/>
      <c r="C417" s="115"/>
      <c r="D417" s="12"/>
      <c r="E417" s="118">
        <f>BL413</f>
        <v>0</v>
      </c>
      <c r="F417" s="19">
        <f>IF($D$4=2023,1,0)</f>
        <v>0</v>
      </c>
      <c r="G417" s="178">
        <f>IF($B$461="Yes",$C$5,$I460)</f>
        <v>12</v>
      </c>
      <c r="H417" s="36">
        <f>VLOOKUP(H459,'Lookup Tables'!$A$22:$B$33,2,FALSE)</f>
        <v>3</v>
      </c>
      <c r="I417" s="192">
        <f>VLOOKUP($E$4,'Lookup Tables'!$AB$46:$AN$58,MATCH($H417,'Lookup Tables'!$AB$46:$AN$46),FALSE)</f>
        <v>12</v>
      </c>
      <c r="J417" s="33">
        <f>VLOOKUP(H417,'Lookup Tables'!$A$3:$AA$16,MATCH(PersonCalcYr3!$G417,'Lookup Tables'!$A$3:$AA$3),FALSE)</f>
        <v>1.5161</v>
      </c>
      <c r="K417" s="54">
        <f>VLOOKUP($H459,'Lookup Tables'!$K$23:$L$34,2,FALSE)</f>
        <v>0</v>
      </c>
      <c r="L417" s="12">
        <f>IF(G417&lt;=K417,G417,K417)</f>
        <v>0</v>
      </c>
      <c r="M417" s="195">
        <f>IF(12-I417&gt;=1,1,0)</f>
        <v>0</v>
      </c>
      <c r="N417" s="15">
        <f>(('Rate Tables'!C89*PersonCalcYr3!E417)*PersonCalcYr3!L417)*PersonCalcYr3!F417*M417</f>
        <v>0</v>
      </c>
      <c r="O417" s="28">
        <f>G417-((J417+L417)*M417)</f>
        <v>12</v>
      </c>
      <c r="P417" s="8">
        <f>IF(O417&lt;0,O417*0,1)*O417</f>
        <v>12</v>
      </c>
      <c r="Q417" s="120">
        <f>VLOOKUP($H459,'Lookup Tables'!$A$22:$B$33,2,FALSE)+(L417*M417)+(J417*M417)</f>
        <v>3</v>
      </c>
      <c r="R417" s="121" t="str">
        <f>VLOOKUP(Q417,'Lookup Tables'!$A$38:$B$151,2,FALSE)</f>
        <v>Sept</v>
      </c>
      <c r="S417" s="36">
        <f>VLOOKUP(R417,'Lookup Tables'!$A$22:$B$33,2,FALSE)</f>
        <v>3</v>
      </c>
      <c r="T417" s="599">
        <f>VLOOKUP($E$4,'Lookup Tables'!$AB$63:$AN$75,MATCH(PersonCalcYr3!$S417,'Lookup Tables'!$AB$63:$AN$63),FALSE)</f>
        <v>0.5161</v>
      </c>
      <c r="U417" s="34">
        <f>VLOOKUP(S417,'Lookup Tables'!$A$3:$AA$16,MATCH(PersonCalcYr3!$P417,'Lookup Tables'!$A$3:$AA$3),FALSE)</f>
        <v>1.5161</v>
      </c>
      <c r="V417" s="12">
        <f>9-T417</f>
        <v>8.4839000000000002</v>
      </c>
      <c r="W417" s="122">
        <f>P417-U417</f>
        <v>10.4839</v>
      </c>
      <c r="X417" s="119">
        <f>IF(V417&lt;=W417,V417,W417)</f>
        <v>8.4839000000000002</v>
      </c>
      <c r="Y417" s="195">
        <f>IF(12-T417-U417-X417&gt;=0,1,0)</f>
        <v>1</v>
      </c>
      <c r="Z417" s="20">
        <f>((('Rate Tables'!D89*$E417)*PersonCalcYr3!$X417)*$F417)*Y417</f>
        <v>0</v>
      </c>
      <c r="AA417" s="197">
        <f>O417-(((U417*U423)+X417)*Y417)</f>
        <v>2</v>
      </c>
      <c r="AB417" s="8">
        <f>IF(AA417&lt;0,AA417*0,1)*AA417</f>
        <v>2</v>
      </c>
      <c r="AC417" s="601">
        <f>S417+(X417*Y417)+((U417*U423)*Y417)</f>
        <v>13</v>
      </c>
      <c r="AD417" s="121" t="str">
        <f>VLOOKUP(AC417,'Lookup Tables'!$A$38:$B$151,2,FALSE)</f>
        <v>July</v>
      </c>
      <c r="AE417" s="36">
        <f>VLOOKUP(AD417,'Lookup Tables'!$A$22:$B$33,2,FALSE)</f>
        <v>1</v>
      </c>
      <c r="AF417" s="34">
        <f>VLOOKUP(AE417,'Lookup Tables'!$A$3:$AA$16,MATCH(PersonCalcYr3!AB417,'Lookup Tables'!$A$3:$AA$3),FALSE)</f>
        <v>1.4839</v>
      </c>
      <c r="AG417" s="12">
        <v>9</v>
      </c>
      <c r="AH417" s="122">
        <f>AB417-AF417</f>
        <v>0.5161</v>
      </c>
      <c r="AI417" s="119">
        <f>IF(AG417&lt;=AH417,AG417,AH417)</f>
        <v>0.5161</v>
      </c>
      <c r="AJ417" s="119">
        <f>IF((AG417+AF417)&lt;=0,0,1)</f>
        <v>1</v>
      </c>
      <c r="AK417" s="124">
        <f>((('Rate Tables'!E89*$E417)*PersonCalcYr3!AI417)*$F417)*AJ417</f>
        <v>0</v>
      </c>
      <c r="AL417" s="28">
        <f>AB417-AF417-AI417</f>
        <v>0</v>
      </c>
      <c r="AM417" s="8">
        <f>IF(AL417&lt;0,AL417*0,1)*AL417</f>
        <v>0</v>
      </c>
      <c r="AN417" s="601">
        <f>AE417+(AI417*AJ417)+((AF417*AF423)*AJ417)</f>
        <v>3</v>
      </c>
      <c r="AO417" s="121" t="str">
        <f>VLOOKUP(AN417,'Lookup Tables'!$A$38:$B$151,2,FALSE)</f>
        <v>Sept</v>
      </c>
      <c r="AP417" s="36">
        <f>VLOOKUP(AO417,'Lookup Tables'!$A$22:$B$33,2,FALSE)</f>
        <v>3</v>
      </c>
      <c r="AQ417" s="34">
        <f>VLOOKUP(AP417,'Lookup Tables'!$A$3:$AA$16,MATCH(PersonCalcYr3!AM417,'Lookup Tables'!$A$3:$AA$3),FALSE)</f>
        <v>0</v>
      </c>
      <c r="AR417" s="12">
        <v>9</v>
      </c>
      <c r="AS417" s="122">
        <f>AM417-AQ417</f>
        <v>0</v>
      </c>
      <c r="AT417" s="119">
        <f>IF(AR417&lt;=AS417,AR417,AS417)</f>
        <v>0</v>
      </c>
      <c r="AU417" s="119">
        <f>IF((AR417+AQ417)&lt;=0,0,1)</f>
        <v>1</v>
      </c>
      <c r="AV417" s="124">
        <f>((('Rate Tables'!F89*$E417)*PersonCalcYr3!AT417)*$F417)*AU417</f>
        <v>0</v>
      </c>
      <c r="AW417" s="28">
        <f>AM417-AQ417-AT417</f>
        <v>0</v>
      </c>
      <c r="AX417" s="8">
        <f>IF(AW417&lt;0,AW417*0,1)*AW417</f>
        <v>0</v>
      </c>
      <c r="AY417" s="601">
        <f>AP417+(AT417*AU417)+((AQ417*AQ423)*AU417)</f>
        <v>3</v>
      </c>
      <c r="AZ417" s="121" t="str">
        <f>VLOOKUP(AY417,'Lookup Tables'!$A$38:$B$151,2,FALSE)</f>
        <v>Sept</v>
      </c>
      <c r="BA417" s="36">
        <f>VLOOKUP(AZ417,'Lookup Tables'!$A$22:$B$33,2,FALSE)</f>
        <v>3</v>
      </c>
      <c r="BB417" s="34">
        <f>VLOOKUP(BA417,'Lookup Tables'!$A$3:$AA$16,MATCH(PersonCalcYr3!AX417,'Lookup Tables'!$A$3:$AA$3),FALSE)</f>
        <v>0</v>
      </c>
      <c r="BC417" s="12">
        <v>9</v>
      </c>
      <c r="BD417" s="122">
        <f>AX417-BB417</f>
        <v>0</v>
      </c>
      <c r="BE417" s="119">
        <f>IF(BC417&lt;=BD417,BC417,BD417)</f>
        <v>0</v>
      </c>
      <c r="BF417" s="119">
        <f>IF((BC417+BB417)&lt;=0,0,1)</f>
        <v>1</v>
      </c>
      <c r="BG417" s="124">
        <f>((('Rate Tables'!G89*$E417)*PersonCalcYr3!BE417)*$F417)*BF417</f>
        <v>0</v>
      </c>
      <c r="BH417" s="28">
        <f>AX417-BB417-BE417</f>
        <v>0</v>
      </c>
      <c r="BI417" s="19"/>
      <c r="BJ417" s="12"/>
      <c r="BK417" s="1199" t="s">
        <v>580</v>
      </c>
      <c r="BL417" s="349"/>
      <c r="BM417" s="276" t="s">
        <v>134</v>
      </c>
      <c r="BN417" s="286">
        <f>(((O423+O424+O425+O426+AA423+AA424+AA425+AA426+AL423+AL424+AL425+AL426+AW423+AW424+AW425+AW426+BH423+BH424+BH425+BH426)*BI423)*BN422)*BL424</f>
        <v>0</v>
      </c>
      <c r="BO417" s="146"/>
    </row>
    <row r="418" spans="1:67" x14ac:dyDescent="0.25">
      <c r="A418" s="145"/>
      <c r="B418" s="12"/>
      <c r="C418" s="117" t="s">
        <v>664</v>
      </c>
      <c r="D418" s="12"/>
      <c r="E418" s="13" t="s">
        <v>16</v>
      </c>
      <c r="F418" s="13" t="s">
        <v>42</v>
      </c>
      <c r="G418" s="13" t="s">
        <v>41</v>
      </c>
      <c r="H418" s="65" t="s">
        <v>77</v>
      </c>
      <c r="I418" s="64" t="s">
        <v>90</v>
      </c>
      <c r="J418" s="63" t="s">
        <v>70</v>
      </c>
      <c r="K418" s="52" t="s">
        <v>109</v>
      </c>
      <c r="L418" s="13" t="s">
        <v>53</v>
      </c>
      <c r="M418" s="13" t="s">
        <v>82</v>
      </c>
      <c r="N418" s="13" t="s">
        <v>32</v>
      </c>
      <c r="O418" s="14" t="s">
        <v>69</v>
      </c>
      <c r="P418" s="13" t="s">
        <v>72</v>
      </c>
      <c r="Q418" s="65" t="s">
        <v>80</v>
      </c>
      <c r="R418" s="62" t="s">
        <v>81</v>
      </c>
      <c r="S418" s="65" t="s">
        <v>77</v>
      </c>
      <c r="T418" s="600" t="s">
        <v>83</v>
      </c>
      <c r="U418" s="63" t="s">
        <v>70</v>
      </c>
      <c r="V418" s="13" t="s">
        <v>92</v>
      </c>
      <c r="W418" s="13" t="s">
        <v>44</v>
      </c>
      <c r="X418" s="13" t="s">
        <v>78</v>
      </c>
      <c r="Y418" s="13" t="s">
        <v>68</v>
      </c>
      <c r="Z418" s="13" t="s">
        <v>33</v>
      </c>
      <c r="AA418" s="14" t="s">
        <v>69</v>
      </c>
      <c r="AB418" s="13" t="s">
        <v>72</v>
      </c>
      <c r="AC418" s="13" t="s">
        <v>80</v>
      </c>
      <c r="AD418" s="62" t="s">
        <v>81</v>
      </c>
      <c r="AE418" s="65" t="s">
        <v>77</v>
      </c>
      <c r="AF418" s="63" t="s">
        <v>70</v>
      </c>
      <c r="AG418" s="13" t="s">
        <v>94</v>
      </c>
      <c r="AH418" s="13" t="s">
        <v>45</v>
      </c>
      <c r="AI418" s="13" t="s">
        <v>79</v>
      </c>
      <c r="AJ418" s="13" t="s">
        <v>68</v>
      </c>
      <c r="AK418" s="13" t="s">
        <v>34</v>
      </c>
      <c r="AL418" s="14" t="s">
        <v>69</v>
      </c>
      <c r="AM418" s="13" t="s">
        <v>72</v>
      </c>
      <c r="AN418" s="13" t="s">
        <v>80</v>
      </c>
      <c r="AO418" s="62" t="s">
        <v>81</v>
      </c>
      <c r="AP418" s="65" t="s">
        <v>77</v>
      </c>
      <c r="AQ418" s="63" t="s">
        <v>70</v>
      </c>
      <c r="AR418" s="13" t="s">
        <v>94</v>
      </c>
      <c r="AS418" s="13" t="s">
        <v>45</v>
      </c>
      <c r="AT418" s="13" t="s">
        <v>79</v>
      </c>
      <c r="AU418" s="13" t="s">
        <v>68</v>
      </c>
      <c r="AV418" s="13" t="s">
        <v>34</v>
      </c>
      <c r="AW418" s="14" t="s">
        <v>69</v>
      </c>
      <c r="AX418" s="13" t="s">
        <v>72</v>
      </c>
      <c r="AY418" s="13" t="s">
        <v>80</v>
      </c>
      <c r="AZ418" s="62" t="s">
        <v>81</v>
      </c>
      <c r="BA418" s="65" t="s">
        <v>77</v>
      </c>
      <c r="BB418" s="63" t="s">
        <v>70</v>
      </c>
      <c r="BC418" s="13" t="s">
        <v>94</v>
      </c>
      <c r="BD418" s="13" t="s">
        <v>45</v>
      </c>
      <c r="BE418" s="13" t="s">
        <v>79</v>
      </c>
      <c r="BF418" s="13" t="s">
        <v>68</v>
      </c>
      <c r="BG418" s="13" t="s">
        <v>34</v>
      </c>
      <c r="BH418" s="14" t="s">
        <v>69</v>
      </c>
      <c r="BI418" s="19"/>
      <c r="BJ418" s="12"/>
      <c r="BK418" s="1199"/>
      <c r="BL418" s="349"/>
      <c r="BM418" s="276"/>
      <c r="BN418" s="286"/>
      <c r="BO418" s="146"/>
    </row>
    <row r="419" spans="1:67" x14ac:dyDescent="0.25">
      <c r="A419" s="145"/>
      <c r="B419" s="12"/>
      <c r="C419" s="115"/>
      <c r="D419" s="12"/>
      <c r="E419" s="118">
        <f>BL413</f>
        <v>0</v>
      </c>
      <c r="F419" s="19">
        <f>IF($D$4=2024,1,0)</f>
        <v>1</v>
      </c>
      <c r="G419" s="178">
        <f>IF($B$461="Yes",$C$5,$I460)</f>
        <v>12</v>
      </c>
      <c r="H419" s="36">
        <f>VLOOKUP(H459,'Lookup Tables'!$A$22:$B$33,2,FALSE)</f>
        <v>3</v>
      </c>
      <c r="I419" s="192">
        <f>VLOOKUP($E$4,'Lookup Tables'!$AB$46:$AN$58,MATCH($H419,'Lookup Tables'!$AB$46:$AN$46),FALSE)</f>
        <v>12</v>
      </c>
      <c r="J419" s="33">
        <f>VLOOKUP(H419,'Lookup Tables'!$A$3:$AA$16,MATCH(PersonCalcYr3!$G419,'Lookup Tables'!$A$3:$AA$3),FALSE)</f>
        <v>1.5161</v>
      </c>
      <c r="K419" s="54">
        <f>VLOOKUP($H459,'Lookup Tables'!$K$23:$L$34,2,FALSE)</f>
        <v>0</v>
      </c>
      <c r="L419" s="12">
        <f>IF(G419&lt;=K419,G419,K419)</f>
        <v>0</v>
      </c>
      <c r="M419" s="195">
        <f>IF(12-I419&gt;=1,1,0)</f>
        <v>0</v>
      </c>
      <c r="N419" s="15">
        <f>(('Rate Tables'!D89*PersonCalcYr3!E419)*PersonCalcYr3!L419)*PersonCalcYr3!F419*M419</f>
        <v>0</v>
      </c>
      <c r="O419" s="28">
        <f>G419-((J419+L419)*M419)</f>
        <v>12</v>
      </c>
      <c r="P419" s="8">
        <f>IF(O419&lt;0,O419*0,1)*O419</f>
        <v>12</v>
      </c>
      <c r="Q419" s="120">
        <f>VLOOKUP($H459,'Lookup Tables'!$A$22:$B$33,2,FALSE)+(L419*M419)+(J419*M419)</f>
        <v>3</v>
      </c>
      <c r="R419" s="121" t="str">
        <f>VLOOKUP(Q419,'Lookup Tables'!$A$38:$B$151,2,FALSE)</f>
        <v>Sept</v>
      </c>
      <c r="S419" s="36">
        <f>VLOOKUP(R419,'Lookup Tables'!$A$22:$B$33,2,FALSE)</f>
        <v>3</v>
      </c>
      <c r="T419" s="599">
        <f>VLOOKUP($E$4,'Lookup Tables'!$AB$63:$AN$75,MATCH(PersonCalcYr3!$S419,'Lookup Tables'!$AB$63:$AN$63),FALSE)</f>
        <v>0.5161</v>
      </c>
      <c r="U419" s="34">
        <f>VLOOKUP(S419,'Lookup Tables'!$A$3:$AA$16,MATCH(PersonCalcYr3!$P419,'Lookup Tables'!$A$3:$AA$3),FALSE)</f>
        <v>1.5161</v>
      </c>
      <c r="V419" s="12">
        <f>9-T419</f>
        <v>8.4839000000000002</v>
      </c>
      <c r="W419" s="122">
        <f>P419-U419</f>
        <v>10.4839</v>
      </c>
      <c r="X419" s="119">
        <f>IF(V419&lt;=W419,V419,W419)</f>
        <v>8.4839000000000002</v>
      </c>
      <c r="Y419" s="195">
        <f>IF(12-T419-U419-X419&gt;=0,1,0)</f>
        <v>1</v>
      </c>
      <c r="Z419" s="20">
        <f>((('Rate Tables'!E89*$E419)*PersonCalcYr3!$X419)*$F419)*Y419</f>
        <v>0</v>
      </c>
      <c r="AA419" s="197">
        <f>O419-(((U419*U423)+X419)*Y419)</f>
        <v>2</v>
      </c>
      <c r="AB419" s="8">
        <f>IF(AA419&lt;0,AA419*0,1)*AA419</f>
        <v>2</v>
      </c>
      <c r="AC419" s="601">
        <f>S419+(X419*Y419)+((U419*U423)*Y419)</f>
        <v>13</v>
      </c>
      <c r="AD419" s="121" t="str">
        <f>VLOOKUP(AC419,'Lookup Tables'!$A$38:$B$151,2,FALSE)</f>
        <v>July</v>
      </c>
      <c r="AE419" s="36">
        <f>VLOOKUP(AD419,'Lookup Tables'!$A$22:$B$33,2,FALSE)</f>
        <v>1</v>
      </c>
      <c r="AF419" s="34">
        <f>VLOOKUP(AE419,'Lookup Tables'!$A$3:$AA$16,MATCH(PersonCalcYr3!AB419,'Lookup Tables'!$A$3:$AA$3),FALSE)</f>
        <v>1.4839</v>
      </c>
      <c r="AG419" s="12">
        <v>9</v>
      </c>
      <c r="AH419" s="122">
        <f>AB419-AF419</f>
        <v>0.5161</v>
      </c>
      <c r="AI419" s="119">
        <f>IF(AG419&lt;=AH419,AG419,AH419)</f>
        <v>0.5161</v>
      </c>
      <c r="AJ419" s="119">
        <f>IF((AG419+AF419)&lt;=0,0,1)</f>
        <v>1</v>
      </c>
      <c r="AK419" s="124">
        <f>((('Rate Tables'!F89*$E419)*PersonCalcYr3!AI419)*$F419)*AJ419</f>
        <v>0</v>
      </c>
      <c r="AL419" s="28">
        <f>AB419-AF419-AI419</f>
        <v>0</v>
      </c>
      <c r="AM419" s="8">
        <f>IF(AL419&lt;0,AL419*0,1)*AL419</f>
        <v>0</v>
      </c>
      <c r="AN419" s="601">
        <f>AE419+(AI419*AJ419)+((AF419*AF423)*AJ419)</f>
        <v>3</v>
      </c>
      <c r="AO419" s="121" t="str">
        <f>VLOOKUP(AN419,'Lookup Tables'!$A$38:$B$151,2,FALSE)</f>
        <v>Sept</v>
      </c>
      <c r="AP419" s="36">
        <f>VLOOKUP(AO419,'Lookup Tables'!$A$22:$B$33,2,FALSE)</f>
        <v>3</v>
      </c>
      <c r="AQ419" s="34">
        <f>VLOOKUP(AP419,'Lookup Tables'!$A$3:$AA$16,MATCH(PersonCalcYr3!AM419,'Lookup Tables'!$A$3:$AA$3),FALSE)</f>
        <v>0</v>
      </c>
      <c r="AR419" s="12">
        <v>9</v>
      </c>
      <c r="AS419" s="122">
        <f>AM419-AQ419</f>
        <v>0</v>
      </c>
      <c r="AT419" s="119">
        <f>IF(AR419&lt;=AS419,AR419,AS419)</f>
        <v>0</v>
      </c>
      <c r="AU419" s="119">
        <f>IF((AR419+AQ419)&lt;=0,0,1)</f>
        <v>1</v>
      </c>
      <c r="AV419" s="124">
        <f>((('Rate Tables'!G89*$E419)*PersonCalcYr3!AT419)*$F419)*AU419</f>
        <v>0</v>
      </c>
      <c r="AW419" s="28">
        <f>AM419-AQ419-AT419</f>
        <v>0</v>
      </c>
      <c r="AX419" s="8">
        <f>IF(AW419&lt;0,AW419*0,1)*AW419</f>
        <v>0</v>
      </c>
      <c r="AY419" s="601">
        <f>AP419+(AT419*AU419)+((AQ419*AQ423)*AU419)</f>
        <v>3</v>
      </c>
      <c r="AZ419" s="121" t="str">
        <f>VLOOKUP(AY419,'Lookup Tables'!$A$38:$B$151,2,FALSE)</f>
        <v>Sept</v>
      </c>
      <c r="BA419" s="36">
        <f>VLOOKUP(AZ419,'Lookup Tables'!$A$22:$B$33,2,FALSE)</f>
        <v>3</v>
      </c>
      <c r="BB419" s="34">
        <f>VLOOKUP(BA419,'Lookup Tables'!$A$3:$AA$16,MATCH(PersonCalcYr3!AX419,'Lookup Tables'!$A$3:$AA$3),FALSE)</f>
        <v>0</v>
      </c>
      <c r="BC419" s="12">
        <v>9</v>
      </c>
      <c r="BD419" s="122">
        <f>AX419-BB419</f>
        <v>0</v>
      </c>
      <c r="BE419" s="119">
        <f>IF(BC419&lt;=BD419,BC419,BD419)</f>
        <v>0</v>
      </c>
      <c r="BF419" s="119">
        <f>IF((BC419+BB419)&lt;=0,0,1)</f>
        <v>1</v>
      </c>
      <c r="BG419" s="124">
        <f>((('Rate Tables'!H89*$E419)*PersonCalcYr3!BE419)*$F419)*BF419</f>
        <v>0</v>
      </c>
      <c r="BH419" s="28">
        <f>AX419-BB419-BE419</f>
        <v>0</v>
      </c>
      <c r="BI419" s="19"/>
      <c r="BJ419" s="12"/>
      <c r="BK419" s="1199"/>
      <c r="BL419" s="349" t="s">
        <v>643</v>
      </c>
      <c r="BM419" s="276"/>
      <c r="BN419" s="286"/>
      <c r="BO419" s="146"/>
    </row>
    <row r="420" spans="1:67" x14ac:dyDescent="0.25">
      <c r="A420" s="145"/>
      <c r="B420" s="12"/>
      <c r="C420" s="819" t="s">
        <v>732</v>
      </c>
      <c r="D420" s="12"/>
      <c r="E420" s="13" t="s">
        <v>16</v>
      </c>
      <c r="F420" s="13" t="s">
        <v>42</v>
      </c>
      <c r="G420" s="13" t="s">
        <v>41</v>
      </c>
      <c r="H420" s="65" t="s">
        <v>77</v>
      </c>
      <c r="I420" s="64" t="s">
        <v>90</v>
      </c>
      <c r="J420" s="63" t="s">
        <v>70</v>
      </c>
      <c r="K420" s="52" t="s">
        <v>109</v>
      </c>
      <c r="L420" s="13" t="s">
        <v>53</v>
      </c>
      <c r="M420" s="13" t="s">
        <v>82</v>
      </c>
      <c r="N420" s="13" t="s">
        <v>32</v>
      </c>
      <c r="O420" s="14" t="s">
        <v>69</v>
      </c>
      <c r="P420" s="13" t="s">
        <v>72</v>
      </c>
      <c r="Q420" s="65" t="s">
        <v>80</v>
      </c>
      <c r="R420" s="62" t="s">
        <v>81</v>
      </c>
      <c r="S420" s="65" t="s">
        <v>77</v>
      </c>
      <c r="T420" s="600" t="s">
        <v>83</v>
      </c>
      <c r="U420" s="63" t="s">
        <v>70</v>
      </c>
      <c r="V420" s="13" t="s">
        <v>92</v>
      </c>
      <c r="W420" s="13" t="s">
        <v>44</v>
      </c>
      <c r="X420" s="13" t="s">
        <v>78</v>
      </c>
      <c r="Y420" s="13" t="s">
        <v>68</v>
      </c>
      <c r="Z420" s="13" t="s">
        <v>33</v>
      </c>
      <c r="AA420" s="14" t="s">
        <v>69</v>
      </c>
      <c r="AB420" s="13" t="s">
        <v>72</v>
      </c>
      <c r="AC420" s="13" t="s">
        <v>80</v>
      </c>
      <c r="AD420" s="62" t="s">
        <v>81</v>
      </c>
      <c r="AE420" s="65" t="s">
        <v>77</v>
      </c>
      <c r="AF420" s="63" t="s">
        <v>70</v>
      </c>
      <c r="AG420" s="13" t="s">
        <v>94</v>
      </c>
      <c r="AH420" s="13" t="s">
        <v>45</v>
      </c>
      <c r="AI420" s="13" t="s">
        <v>79</v>
      </c>
      <c r="AJ420" s="13" t="s">
        <v>68</v>
      </c>
      <c r="AK420" s="13" t="s">
        <v>34</v>
      </c>
      <c r="AL420" s="14" t="s">
        <v>69</v>
      </c>
      <c r="AM420" s="13" t="s">
        <v>72</v>
      </c>
      <c r="AN420" s="13" t="s">
        <v>80</v>
      </c>
      <c r="AO420" s="62" t="s">
        <v>81</v>
      </c>
      <c r="AP420" s="65" t="s">
        <v>77</v>
      </c>
      <c r="AQ420" s="63" t="s">
        <v>70</v>
      </c>
      <c r="AR420" s="13" t="s">
        <v>94</v>
      </c>
      <c r="AS420" s="13" t="s">
        <v>45</v>
      </c>
      <c r="AT420" s="13" t="s">
        <v>79</v>
      </c>
      <c r="AU420" s="13" t="s">
        <v>68</v>
      </c>
      <c r="AV420" s="13" t="s">
        <v>34</v>
      </c>
      <c r="AW420" s="14" t="s">
        <v>69</v>
      </c>
      <c r="AX420" s="13" t="s">
        <v>72</v>
      </c>
      <c r="AY420" s="13" t="s">
        <v>80</v>
      </c>
      <c r="AZ420" s="62" t="s">
        <v>81</v>
      </c>
      <c r="BA420" s="65" t="s">
        <v>77</v>
      </c>
      <c r="BB420" s="63" t="s">
        <v>70</v>
      </c>
      <c r="BC420" s="13" t="s">
        <v>94</v>
      </c>
      <c r="BD420" s="13" t="s">
        <v>45</v>
      </c>
      <c r="BE420" s="13" t="s">
        <v>79</v>
      </c>
      <c r="BF420" s="13" t="s">
        <v>68</v>
      </c>
      <c r="BG420" s="13" t="s">
        <v>34</v>
      </c>
      <c r="BH420" s="14" t="s">
        <v>69</v>
      </c>
      <c r="BI420" s="19"/>
      <c r="BJ420" s="12"/>
      <c r="BK420" s="1199"/>
      <c r="BL420" s="349"/>
      <c r="BM420" s="276"/>
      <c r="BN420" s="286"/>
      <c r="BO420" s="146"/>
    </row>
    <row r="421" spans="1:67" x14ac:dyDescent="0.25">
      <c r="A421" s="145"/>
      <c r="B421" s="12"/>
      <c r="C421" s="115"/>
      <c r="D421" s="12"/>
      <c r="E421" s="118">
        <f>BL413</f>
        <v>0</v>
      </c>
      <c r="F421" s="19">
        <f>IF($D$4=2025,1,0)</f>
        <v>0</v>
      </c>
      <c r="G421" s="178">
        <f>IF($B$461="Yes",$C$5,$I460)</f>
        <v>12</v>
      </c>
      <c r="H421" s="36">
        <f>VLOOKUP(H459,'Lookup Tables'!$A$22:$B$33,2,FALSE)</f>
        <v>3</v>
      </c>
      <c r="I421" s="192">
        <f>VLOOKUP($E$4,'Lookup Tables'!$AB$46:$AN$58,MATCH($H421,'Lookup Tables'!$AB$46:$AN$46),FALSE)</f>
        <v>12</v>
      </c>
      <c r="J421" s="33">
        <f>VLOOKUP(H421,'Lookup Tables'!$A$3:$AA$16,MATCH(PersonCalcYr3!$G421,'Lookup Tables'!$A$3:$AA$3),FALSE)</f>
        <v>1.5161</v>
      </c>
      <c r="K421" s="54">
        <f>VLOOKUP($H459,'Lookup Tables'!$K$23:$L$34,2,FALSE)</f>
        <v>0</v>
      </c>
      <c r="L421" s="12">
        <f>IF(G421&lt;=K421,G421,K421)</f>
        <v>0</v>
      </c>
      <c r="M421" s="195">
        <f>IF(12-I421&gt;=1,1,0)</f>
        <v>0</v>
      </c>
      <c r="N421" s="15">
        <f>(('Rate Tables'!E89*PersonCalcYr3!E421)*PersonCalcYr3!L421)*PersonCalcYr3!F421*M421</f>
        <v>0</v>
      </c>
      <c r="O421" s="28">
        <f>G421-((J421+L421)*M421)</f>
        <v>12</v>
      </c>
      <c r="P421" s="8">
        <f>IF(O421&lt;0,O421*0,1)*O421</f>
        <v>12</v>
      </c>
      <c r="Q421" s="120">
        <f>VLOOKUP($H459,'Lookup Tables'!$A$22:$B$33,2,FALSE)+(L421*M421)+(J421*M421)</f>
        <v>3</v>
      </c>
      <c r="R421" s="121" t="str">
        <f>VLOOKUP(Q421,'Lookup Tables'!$A$38:$B$151,2,FALSE)</f>
        <v>Sept</v>
      </c>
      <c r="S421" s="36">
        <f>VLOOKUP(R421,'Lookup Tables'!$A$22:$B$33,2,FALSE)</f>
        <v>3</v>
      </c>
      <c r="T421" s="599">
        <f>VLOOKUP($E$4,'Lookup Tables'!$AB$63:$AN$75,MATCH(PersonCalcYr3!$S421,'Lookup Tables'!$AB$63:$AN$63),FALSE)</f>
        <v>0.5161</v>
      </c>
      <c r="U421" s="34">
        <f>VLOOKUP(S421,'Lookup Tables'!$A$3:$AA$16,MATCH(PersonCalcYr3!$P421,'Lookup Tables'!$A$3:$AA$3),FALSE)</f>
        <v>1.5161</v>
      </c>
      <c r="V421" s="12">
        <f>9-T421</f>
        <v>8.4839000000000002</v>
      </c>
      <c r="W421" s="122">
        <f>P421-U421</f>
        <v>10.4839</v>
      </c>
      <c r="X421" s="119">
        <f>IF(V421&lt;=W421,V421,W421)</f>
        <v>8.4839000000000002</v>
      </c>
      <c r="Y421" s="195">
        <f>IF(12-T421-U421-X421&gt;=0,1,0)</f>
        <v>1</v>
      </c>
      <c r="Z421" s="20">
        <f>((('Rate Tables'!F89*$E421)*PersonCalcYr3!$X421)*$F421)*Y421</f>
        <v>0</v>
      </c>
      <c r="AA421" s="197">
        <f>O421-(((U421*U423)+X421)*Y421)</f>
        <v>2</v>
      </c>
      <c r="AB421" s="8">
        <f>IF(AA421&lt;0,AA421*0,1)*AA421</f>
        <v>2</v>
      </c>
      <c r="AC421" s="601">
        <f>S421+(X421*Y421)+((U421*U423)*Y421)</f>
        <v>13</v>
      </c>
      <c r="AD421" s="121" t="str">
        <f>VLOOKUP(AC421,'Lookup Tables'!$A$38:$B$151,2,FALSE)</f>
        <v>July</v>
      </c>
      <c r="AE421" s="36">
        <f>VLOOKUP(AD421,'Lookup Tables'!$A$22:$B$33,2,FALSE)</f>
        <v>1</v>
      </c>
      <c r="AF421" s="34">
        <f>VLOOKUP(AE421,'Lookup Tables'!$A$3:$AA$16,MATCH(PersonCalcYr3!AB421,'Lookup Tables'!$A$3:$AA$3),FALSE)</f>
        <v>1.4839</v>
      </c>
      <c r="AG421" s="12">
        <v>9</v>
      </c>
      <c r="AH421" s="122">
        <f>AB421-AF421</f>
        <v>0.5161</v>
      </c>
      <c r="AI421" s="119">
        <f>IF(AG421&lt;=AH421,AG421,AH421)</f>
        <v>0.5161</v>
      </c>
      <c r="AJ421" s="119">
        <f>IF((AG421+AF421)&lt;=0,0,1)</f>
        <v>1</v>
      </c>
      <c r="AK421" s="124">
        <f>((('Rate Tables'!G89*$E421)*PersonCalcYr3!AI421)*$F421)*AJ421</f>
        <v>0</v>
      </c>
      <c r="AL421" s="28">
        <f>AB421-AF421-AI421</f>
        <v>0</v>
      </c>
      <c r="AM421" s="8">
        <f>IF(AL421&lt;0,AL421*0,1)*AL421</f>
        <v>0</v>
      </c>
      <c r="AN421" s="601">
        <f>AE421+(AI421*AJ421)+((AF421*AF423)*AJ421)</f>
        <v>3</v>
      </c>
      <c r="AO421" s="121" t="str">
        <f>VLOOKUP(AN421,'Lookup Tables'!$A$38:$B$151,2,FALSE)</f>
        <v>Sept</v>
      </c>
      <c r="AP421" s="36">
        <f>VLOOKUP(AO421,'Lookup Tables'!$A$22:$B$33,2,FALSE)</f>
        <v>3</v>
      </c>
      <c r="AQ421" s="34">
        <f>VLOOKUP(AP421,'Lookup Tables'!$A$3:$AA$16,MATCH(PersonCalcYr3!AM421,'Lookup Tables'!$A$3:$AA$3),FALSE)</f>
        <v>0</v>
      </c>
      <c r="AR421" s="12">
        <v>9</v>
      </c>
      <c r="AS421" s="122">
        <f>AM421-AQ421</f>
        <v>0</v>
      </c>
      <c r="AT421" s="119">
        <f>IF(AR421&lt;=AS421,AR421,AS421)</f>
        <v>0</v>
      </c>
      <c r="AU421" s="119">
        <f>IF((AR421+AQ421)&lt;=0,0,1)</f>
        <v>1</v>
      </c>
      <c r="AV421" s="124">
        <f>((('Rate Tables'!H89*$E421)*PersonCalcYr3!AT421)*$F421)*AU421</f>
        <v>0</v>
      </c>
      <c r="AW421" s="28">
        <f>AM421-AQ421-AT421</f>
        <v>0</v>
      </c>
      <c r="AX421" s="8">
        <f>IF(AW421&lt;0,AW421*0,1)*AW421</f>
        <v>0</v>
      </c>
      <c r="AY421" s="601">
        <f>AP421+(AT421*AU421)+((AQ421*AQ423)*AU421)</f>
        <v>3</v>
      </c>
      <c r="AZ421" s="121" t="str">
        <f>VLOOKUP(AY421,'Lookup Tables'!$A$38:$B$151,2,FALSE)</f>
        <v>Sept</v>
      </c>
      <c r="BA421" s="36">
        <f>VLOOKUP(AZ421,'Lookup Tables'!$A$22:$B$33,2,FALSE)</f>
        <v>3</v>
      </c>
      <c r="BB421" s="34">
        <f>VLOOKUP(BA421,'Lookup Tables'!$A$3:$AA$16,MATCH(PersonCalcYr3!AX421,'Lookup Tables'!$A$3:$AA$3),FALSE)</f>
        <v>0</v>
      </c>
      <c r="BC421" s="12">
        <v>9</v>
      </c>
      <c r="BD421" s="122">
        <f>AX421-BB421</f>
        <v>0</v>
      </c>
      <c r="BE421" s="119">
        <f>IF(BC421&lt;=BD421,BC421,BD421)</f>
        <v>0</v>
      </c>
      <c r="BF421" s="119">
        <f>IF((BC421+BB421)&lt;=0,0,1)</f>
        <v>1</v>
      </c>
      <c r="BG421" s="124">
        <f>((('Rate Tables'!I89*$E421)*PersonCalcYr3!BE421)*$F421)*BF421</f>
        <v>0</v>
      </c>
      <c r="BH421" s="28">
        <f>AX421-BB421-BE421</f>
        <v>0</v>
      </c>
      <c r="BI421" s="19"/>
      <c r="BJ421" s="12"/>
      <c r="BK421" s="1199"/>
      <c r="BL421" s="349"/>
      <c r="BM421" s="276"/>
      <c r="BN421" s="286"/>
      <c r="BO421" s="146"/>
    </row>
    <row r="422" spans="1:67" x14ac:dyDescent="0.25">
      <c r="A422" s="145"/>
      <c r="B422" s="12"/>
      <c r="C422" s="115"/>
      <c r="D422" s="12"/>
      <c r="E422" s="118"/>
      <c r="F422" s="19"/>
      <c r="G422" s="12"/>
      <c r="H422" s="12"/>
      <c r="I422" s="141"/>
      <c r="J422" s="228" t="s">
        <v>183</v>
      </c>
      <c r="K422" s="13" t="s">
        <v>181</v>
      </c>
      <c r="L422" s="13" t="s">
        <v>179</v>
      </c>
      <c r="M422" s="13" t="s">
        <v>180</v>
      </c>
      <c r="N422" s="660" t="s">
        <v>128</v>
      </c>
      <c r="O422" s="135" t="s">
        <v>130</v>
      </c>
      <c r="P422" s="8"/>
      <c r="Q422" s="123"/>
      <c r="R422" s="12"/>
      <c r="S422" s="12"/>
      <c r="T422" s="12"/>
      <c r="U422" s="12"/>
      <c r="V422" s="228" t="s">
        <v>183</v>
      </c>
      <c r="W422" s="13" t="s">
        <v>181</v>
      </c>
      <c r="X422" s="13" t="s">
        <v>179</v>
      </c>
      <c r="Y422" s="13" t="s">
        <v>180</v>
      </c>
      <c r="Z422" s="660" t="s">
        <v>128</v>
      </c>
      <c r="AA422" s="135" t="s">
        <v>130</v>
      </c>
      <c r="AB422" s="8"/>
      <c r="AC422" s="123"/>
      <c r="AD422" s="12"/>
      <c r="AE422" s="12"/>
      <c r="AF422" s="12"/>
      <c r="AG422" s="228" t="s">
        <v>183</v>
      </c>
      <c r="AH422" s="13" t="s">
        <v>181</v>
      </c>
      <c r="AI422" s="13" t="s">
        <v>179</v>
      </c>
      <c r="AJ422" s="13" t="s">
        <v>180</v>
      </c>
      <c r="AK422" s="660" t="s">
        <v>128</v>
      </c>
      <c r="AL422" s="135" t="s">
        <v>130</v>
      </c>
      <c r="AM422" s="11"/>
      <c r="AN422" s="13"/>
      <c r="AO422" s="13"/>
      <c r="AP422" s="13"/>
      <c r="AQ422" s="13"/>
      <c r="AR422" s="228" t="s">
        <v>183</v>
      </c>
      <c r="AS422" s="13" t="s">
        <v>181</v>
      </c>
      <c r="AT422" s="13" t="s">
        <v>179</v>
      </c>
      <c r="AU422" s="13" t="s">
        <v>180</v>
      </c>
      <c r="AV422" s="660" t="s">
        <v>128</v>
      </c>
      <c r="AW422" s="135" t="s">
        <v>130</v>
      </c>
      <c r="AX422" s="153"/>
      <c r="AY422" s="153"/>
      <c r="AZ422" s="153"/>
      <c r="BA422" s="153"/>
      <c r="BB422" s="153"/>
      <c r="BC422" s="228" t="s">
        <v>183</v>
      </c>
      <c r="BD422" s="13" t="s">
        <v>181</v>
      </c>
      <c r="BE422" s="13" t="s">
        <v>179</v>
      </c>
      <c r="BF422" s="13" t="s">
        <v>180</v>
      </c>
      <c r="BG422" s="660" t="s">
        <v>128</v>
      </c>
      <c r="BH422" s="135" t="s">
        <v>130</v>
      </c>
      <c r="BI422" s="13" t="s">
        <v>159</v>
      </c>
      <c r="BJ422" s="12"/>
      <c r="BK422" s="1199"/>
      <c r="BL422" s="350" t="s">
        <v>644</v>
      </c>
      <c r="BM422" s="227" t="s">
        <v>582</v>
      </c>
      <c r="BN422" s="663">
        <f>IF(BN413&gt;0,1,0)</f>
        <v>0</v>
      </c>
      <c r="BO422" s="12"/>
    </row>
    <row r="423" spans="1:67" x14ac:dyDescent="0.25">
      <c r="A423" s="145"/>
      <c r="B423" s="227"/>
      <c r="C423" s="115"/>
      <c r="D423" s="12"/>
      <c r="E423" s="118"/>
      <c r="F423" s="19"/>
      <c r="G423" s="12"/>
      <c r="H423" s="12"/>
      <c r="I423" s="141"/>
      <c r="J423" s="141">
        <f>IF($BK432&gt;0,1,0)</f>
        <v>0</v>
      </c>
      <c r="K423" s="12">
        <f>IF($BK432=0,1,0)</f>
        <v>1</v>
      </c>
      <c r="L423" s="129">
        <f>'Rate Tables'!$P$17</f>
        <v>910</v>
      </c>
      <c r="M423" s="129">
        <f>'Rate Tables'!$Q$17</f>
        <v>933.34</v>
      </c>
      <c r="N423" s="661">
        <f>ROUNDUP(N427,0)</f>
        <v>0</v>
      </c>
      <c r="O423" s="136">
        <f>((J423*L423)+(K423*M423))*N423</f>
        <v>0</v>
      </c>
      <c r="P423" s="8"/>
      <c r="Q423" s="123"/>
      <c r="R423" s="12"/>
      <c r="S423" s="12"/>
      <c r="T423" s="605" t="s">
        <v>573</v>
      </c>
      <c r="U423" s="606">
        <f>VLOOKUP($E$4,'Lookup Tables'!$L$79:$X$91,MATCH(PersonCalcYr3!$S415,'Lookup Tables'!$L$79:$X$79),FALSE)</f>
        <v>1</v>
      </c>
      <c r="V423" s="141">
        <f>IF($BK432&gt;0,1,0)</f>
        <v>0</v>
      </c>
      <c r="W423" s="12">
        <f>IF($BK432=0,1,0)</f>
        <v>1</v>
      </c>
      <c r="X423" s="129">
        <f>'Rate Tables'!$P$18</f>
        <v>910</v>
      </c>
      <c r="Y423" s="129">
        <f>'Rate Tables'!$Q$18</f>
        <v>933.34</v>
      </c>
      <c r="Z423" s="661">
        <f>IF(Y429&lt;=AA428,Y429,AA428)</f>
        <v>0</v>
      </c>
      <c r="AA423" s="136">
        <f>((V423*X423)+(W423*Y423))*Z423</f>
        <v>0</v>
      </c>
      <c r="AB423" s="8"/>
      <c r="AC423" s="123"/>
      <c r="AD423" s="12"/>
      <c r="AE423" s="605" t="s">
        <v>573</v>
      </c>
      <c r="AF423" s="606">
        <v>1</v>
      </c>
      <c r="AG423" s="141">
        <f>IF($BK432&gt;0,1,0)</f>
        <v>0</v>
      </c>
      <c r="AH423" s="12">
        <f>IF($BK432=0,1,0)</f>
        <v>1</v>
      </c>
      <c r="AI423" s="129">
        <f>'Rate Tables'!$P$19</f>
        <v>910</v>
      </c>
      <c r="AJ423" s="129">
        <f>'Rate Tables'!$Q$19</f>
        <v>933.34</v>
      </c>
      <c r="AK423" s="661">
        <f>IF(AJ429&lt;=AL427,AJ429,AL427)</f>
        <v>0</v>
      </c>
      <c r="AL423" s="136">
        <f>((AG423*AI423)+(AH423*AJ423))*AK423</f>
        <v>0</v>
      </c>
      <c r="AM423" s="11"/>
      <c r="AN423" s="19"/>
      <c r="AO423" s="19"/>
      <c r="AP423" s="605" t="s">
        <v>573</v>
      </c>
      <c r="AQ423" s="606">
        <v>1</v>
      </c>
      <c r="AR423" s="141">
        <f>IF($BK432&gt;0,1,0)</f>
        <v>0</v>
      </c>
      <c r="AS423" s="12">
        <f>IF($BK432=0,1,0)</f>
        <v>1</v>
      </c>
      <c r="AT423" s="129">
        <f>'Rate Tables'!$P$20</f>
        <v>928.2</v>
      </c>
      <c r="AU423" s="129">
        <f>'Rate Tables'!$Q$20</f>
        <v>952</v>
      </c>
      <c r="AV423" s="661">
        <f>IF(AU428&lt;=AW427,AU428,AW427)</f>
        <v>0</v>
      </c>
      <c r="AW423" s="136">
        <f>((AR423*AT423)+(AS423*AU423))*AV423</f>
        <v>0</v>
      </c>
      <c r="AX423" s="125"/>
      <c r="AY423" s="125"/>
      <c r="AZ423" s="125"/>
      <c r="BA423" s="125"/>
      <c r="BB423" s="125"/>
      <c r="BC423" s="141">
        <f>IF($BK432&gt;0,1,0)</f>
        <v>0</v>
      </c>
      <c r="BD423" s="12">
        <f>IF($BK432=0,1,0)</f>
        <v>1</v>
      </c>
      <c r="BE423" s="129">
        <f>'Rate Tables'!$P$21</f>
        <v>946.76</v>
      </c>
      <c r="BF423" s="129">
        <f>'Rate Tables'!$Q$21</f>
        <v>971.04</v>
      </c>
      <c r="BG423" s="661">
        <f>IF(BF428&lt;=BH427,BF428,BH427)</f>
        <v>0</v>
      </c>
      <c r="BH423" s="136">
        <f>((BC423*BE423)+(BD423*BF423))*BG423</f>
        <v>0</v>
      </c>
      <c r="BI423" s="19">
        <f>VLOOKUP(B411,'Lookup Tables'!$AK$22:$AM$24,2,0)</f>
        <v>0</v>
      </c>
      <c r="BJ423" s="12"/>
      <c r="BK423" s="307">
        <f>N427+N428+N429+N430+Z428+Z429+Z430+Z431+AK427+AK428+AK429+AK430+AV427+AV428+AV429+AV430+BG427+BG428+BG429+BG430</f>
        <v>9</v>
      </c>
      <c r="BL423" s="358" t="str">
        <f>IF(BL413=50%,"no",Personnel!W102)</f>
        <v>No</v>
      </c>
      <c r="BM423" s="12"/>
      <c r="BN423" s="275"/>
      <c r="BO423" s="12"/>
    </row>
    <row r="424" spans="1:67" x14ac:dyDescent="0.25">
      <c r="A424" s="145"/>
      <c r="B424" s="12"/>
      <c r="C424" s="115"/>
      <c r="D424" s="12"/>
      <c r="E424" s="126"/>
      <c r="F424" s="19"/>
      <c r="G424" s="12"/>
      <c r="H424" s="12"/>
      <c r="I424" s="12"/>
      <c r="J424" s="141">
        <f>IF($BK432&gt;0,1,0)</f>
        <v>0</v>
      </c>
      <c r="K424" s="12">
        <f>IF($BK432=0,1,0)</f>
        <v>1</v>
      </c>
      <c r="L424" s="129">
        <f>'Rate Tables'!$P$18</f>
        <v>910</v>
      </c>
      <c r="M424" s="129">
        <f>'Rate Tables'!$Q$18</f>
        <v>933.34</v>
      </c>
      <c r="N424" s="661">
        <f>ROUNDUP(N428,0)</f>
        <v>0</v>
      </c>
      <c r="O424" s="136">
        <f>((J424*L424)+(K424*M424))*N424</f>
        <v>0</v>
      </c>
      <c r="P424" s="19"/>
      <c r="Q424" s="19"/>
      <c r="R424" s="19"/>
      <c r="S424" s="19"/>
      <c r="T424" s="19"/>
      <c r="U424" s="12"/>
      <c r="V424" s="141">
        <f>IF($BK432&gt;0,1,0)</f>
        <v>0</v>
      </c>
      <c r="W424" s="12">
        <f>IF($BK432=0,1,0)</f>
        <v>1</v>
      </c>
      <c r="X424" s="129">
        <f>'Rate Tables'!$P$19</f>
        <v>910</v>
      </c>
      <c r="Y424" s="129">
        <f>'Rate Tables'!$Q$19</f>
        <v>933.34</v>
      </c>
      <c r="Z424" s="661">
        <f>IF(Y429&lt;=AA429,Y429,AA429)</f>
        <v>0</v>
      </c>
      <c r="AA424" s="136">
        <f>((V424*X424)+(W424*Y424))*Z424</f>
        <v>0</v>
      </c>
      <c r="AB424" s="20"/>
      <c r="AC424" s="20"/>
      <c r="AD424" s="20"/>
      <c r="AE424" s="20"/>
      <c r="AF424" s="123"/>
      <c r="AG424" s="141">
        <f>IF($BK432&gt;0,1,0)</f>
        <v>0</v>
      </c>
      <c r="AH424" s="12">
        <f>IF($BK432=0,1,0)</f>
        <v>1</v>
      </c>
      <c r="AI424" s="129">
        <f>'Rate Tables'!$P$20</f>
        <v>928.2</v>
      </c>
      <c r="AJ424" s="129">
        <f>'Rate Tables'!$Q$20</f>
        <v>952</v>
      </c>
      <c r="AK424" s="661">
        <f>IF(AJ429&lt;=AL428,AJ429,AL428)</f>
        <v>0</v>
      </c>
      <c r="AL424" s="136">
        <f>((AG424*AI424)+(AH424*AJ424))*AK424</f>
        <v>0</v>
      </c>
      <c r="AM424" s="11"/>
      <c r="AN424" s="19"/>
      <c r="AO424" s="19"/>
      <c r="AP424" s="19"/>
      <c r="AQ424" s="19"/>
      <c r="AR424" s="141">
        <f>IF($BK432&gt;0,1,0)</f>
        <v>0</v>
      </c>
      <c r="AS424" s="12">
        <f>IF($BK432=0,1,0)</f>
        <v>1</v>
      </c>
      <c r="AT424" s="129">
        <f>'Rate Tables'!$P$21</f>
        <v>946.76</v>
      </c>
      <c r="AU424" s="129">
        <f>'Rate Tables'!$Q$21</f>
        <v>971.04</v>
      </c>
      <c r="AV424" s="661">
        <f>IF(AU428&lt;=AW428,AU428,AW428)</f>
        <v>0</v>
      </c>
      <c r="AW424" s="136">
        <f>((AR424*AT424)+(AS424*AU424))*AV424</f>
        <v>0</v>
      </c>
      <c r="AX424" s="125"/>
      <c r="AY424" s="125"/>
      <c r="AZ424" s="125"/>
      <c r="BA424" s="125"/>
      <c r="BB424" s="125"/>
      <c r="BC424" s="141">
        <f>IF($BK432&gt;0,1,0)</f>
        <v>0</v>
      </c>
      <c r="BD424" s="12">
        <f>IF($BK432=0,1,0)</f>
        <v>1</v>
      </c>
      <c r="BE424" s="129">
        <f>'Rate Tables'!$P$22</f>
        <v>965.7</v>
      </c>
      <c r="BF424" s="129">
        <f>'Rate Tables'!$Q$22</f>
        <v>990.46</v>
      </c>
      <c r="BG424" s="661">
        <f>IF(BF428&lt;=BH428,BF428,BH428)</f>
        <v>0</v>
      </c>
      <c r="BH424" s="136">
        <f>((BC424*BE424)+(BD424*BF424))*BG424</f>
        <v>0</v>
      </c>
      <c r="BI424" s="19"/>
      <c r="BJ424" s="12"/>
      <c r="BK424" s="307">
        <f>ROUNDUP(BK423,0)</f>
        <v>9</v>
      </c>
      <c r="BL424" s="349">
        <f>IF(BL423="yes",0.5,1)</f>
        <v>1</v>
      </c>
      <c r="BM424" s="12"/>
      <c r="BN424" s="275"/>
      <c r="BO424" s="12"/>
    </row>
    <row r="425" spans="1:67" x14ac:dyDescent="0.25">
      <c r="A425" s="145"/>
      <c r="B425" s="12"/>
      <c r="C425" s="115"/>
      <c r="D425" s="12"/>
      <c r="E425" s="126"/>
      <c r="F425" s="19"/>
      <c r="G425" s="12"/>
      <c r="H425" s="12"/>
      <c r="I425" s="12"/>
      <c r="J425" s="141">
        <f>IF($BK432&gt;0,1,0)</f>
        <v>0</v>
      </c>
      <c r="K425" s="12">
        <f>IF($BK432=0,1,0)</f>
        <v>1</v>
      </c>
      <c r="L425" s="129">
        <f>'Rate Tables'!$P$19</f>
        <v>910</v>
      </c>
      <c r="M425" s="129">
        <f>'Rate Tables'!$Q$19</f>
        <v>933.34</v>
      </c>
      <c r="N425" s="661">
        <f>ROUNDUP(N429,0)</f>
        <v>0</v>
      </c>
      <c r="O425" s="136">
        <f>((J425*L425)+(K425*M425))*N425</f>
        <v>0</v>
      </c>
      <c r="P425" s="19"/>
      <c r="Q425" s="19"/>
      <c r="R425" s="19"/>
      <c r="S425" s="19"/>
      <c r="T425" s="19"/>
      <c r="U425" s="12"/>
      <c r="V425" s="141">
        <f>IF($BK432&gt;0,1,0)</f>
        <v>0</v>
      </c>
      <c r="W425" s="12">
        <f>IF($BK432=0,1,0)</f>
        <v>1</v>
      </c>
      <c r="X425" s="129">
        <f>'Rate Tables'!$P$20</f>
        <v>928.2</v>
      </c>
      <c r="Y425" s="129">
        <f>'Rate Tables'!$Q$20</f>
        <v>952</v>
      </c>
      <c r="Z425" s="661">
        <f>IF(Y429&lt;=AA430,Y429,AA430)</f>
        <v>9</v>
      </c>
      <c r="AA425" s="136">
        <f>((V425*X425)+(W425*Y425))*Z425</f>
        <v>8568</v>
      </c>
      <c r="AB425" s="20"/>
      <c r="AC425" s="20"/>
      <c r="AD425" s="20"/>
      <c r="AE425" s="20"/>
      <c r="AF425" s="123"/>
      <c r="AG425" s="141">
        <f>IF($BK432&gt;0,1,0)</f>
        <v>0</v>
      </c>
      <c r="AH425" s="12">
        <f>IF($BK432=0,1,0)</f>
        <v>1</v>
      </c>
      <c r="AI425" s="129">
        <f>'Rate Tables'!$P$21</f>
        <v>946.76</v>
      </c>
      <c r="AJ425" s="129">
        <f>'Rate Tables'!$Q$21</f>
        <v>971.04</v>
      </c>
      <c r="AK425" s="661">
        <f>IF(AJ429&lt;=AL429,AJ429,AL429)</f>
        <v>0</v>
      </c>
      <c r="AL425" s="136">
        <f>((AG425*AI425)+(AH425*AJ425))*AK425</f>
        <v>0</v>
      </c>
      <c r="AM425" s="11"/>
      <c r="AN425" s="19"/>
      <c r="AO425" s="19"/>
      <c r="AP425" s="19"/>
      <c r="AQ425" s="19"/>
      <c r="AR425" s="141">
        <f>IF($BK432&gt;0,1,0)</f>
        <v>0</v>
      </c>
      <c r="AS425" s="12">
        <f>IF($BK432=0,1,0)</f>
        <v>1</v>
      </c>
      <c r="AT425" s="129">
        <f>'Rate Tables'!$P$22</f>
        <v>965.7</v>
      </c>
      <c r="AU425" s="129">
        <f>'Rate Tables'!$Q$22</f>
        <v>990.46</v>
      </c>
      <c r="AV425" s="661">
        <f>IF(AU428&lt;=AW429,AU428,AW429)</f>
        <v>0</v>
      </c>
      <c r="AW425" s="136">
        <f>((AR425*AT425)+(AS425*AU425))*AV425</f>
        <v>0</v>
      </c>
      <c r="AX425" s="125"/>
      <c r="AY425" s="125"/>
      <c r="AZ425" s="125"/>
      <c r="BA425" s="125"/>
      <c r="BB425" s="125"/>
      <c r="BC425" s="141">
        <f>IF($BK432&gt;0,1,0)</f>
        <v>0</v>
      </c>
      <c r="BD425" s="12">
        <f>IF($BK432=0,1,0)</f>
        <v>1</v>
      </c>
      <c r="BE425" s="129">
        <f>'Rate Tables'!$P$23</f>
        <v>985.01</v>
      </c>
      <c r="BF425" s="129">
        <f>'Rate Tables'!$Q$23</f>
        <v>1010.27</v>
      </c>
      <c r="BG425" s="661">
        <f>IF(BF428&lt;=BH429,BF428,BH429)</f>
        <v>0</v>
      </c>
      <c r="BH425" s="136">
        <f>((BC425*BE425)+(BD425*BF425))*BG425</f>
        <v>0</v>
      </c>
      <c r="BI425" s="19"/>
      <c r="BJ425" s="12"/>
      <c r="BK425" s="307"/>
      <c r="BL425" s="349"/>
      <c r="BM425" s="12"/>
      <c r="BN425" s="275"/>
      <c r="BO425" s="12"/>
    </row>
    <row r="426" spans="1:67" x14ac:dyDescent="0.25">
      <c r="A426" s="145"/>
      <c r="B426" s="12"/>
      <c r="C426" s="115"/>
      <c r="D426" s="12"/>
      <c r="E426" s="126"/>
      <c r="F426" s="19"/>
      <c r="G426" s="12"/>
      <c r="H426" s="12"/>
      <c r="I426" s="12"/>
      <c r="J426" s="141">
        <f>IF($BK432&gt;0,1,0)</f>
        <v>0</v>
      </c>
      <c r="K426" s="12">
        <f>IF($BK432=0,1,0)</f>
        <v>1</v>
      </c>
      <c r="L426" s="129">
        <f>'Rate Tables'!$P$20</f>
        <v>928.2</v>
      </c>
      <c r="M426" s="129">
        <f>'Rate Tables'!$Q$20</f>
        <v>952</v>
      </c>
      <c r="N426" s="661">
        <f>ROUNDUP(N430,0)</f>
        <v>0</v>
      </c>
      <c r="O426" s="136">
        <f>((J426*L426)+(K426*M426))*N426</f>
        <v>0</v>
      </c>
      <c r="P426" s="19"/>
      <c r="Q426" s="19"/>
      <c r="R426" s="19"/>
      <c r="S426" s="19"/>
      <c r="T426" s="19"/>
      <c r="U426" s="12"/>
      <c r="V426" s="141">
        <f>IF($BK432&gt;0,1,0)</f>
        <v>0</v>
      </c>
      <c r="W426" s="12">
        <f>IF($BK432=0,1,0)</f>
        <v>1</v>
      </c>
      <c r="X426" s="129">
        <f>'Rate Tables'!$P$21</f>
        <v>946.76</v>
      </c>
      <c r="Y426" s="129">
        <f>'Rate Tables'!$Q$21</f>
        <v>971.04</v>
      </c>
      <c r="Z426" s="661">
        <f>IF(Y429&lt;=AA431,Y429,AA431)</f>
        <v>0</v>
      </c>
      <c r="AA426" s="136">
        <f>((V426*X426)+(W426*Y426))*Z426</f>
        <v>0</v>
      </c>
      <c r="AB426" s="20"/>
      <c r="AC426" s="20"/>
      <c r="AD426" s="20"/>
      <c r="AE426" s="20"/>
      <c r="AF426" s="123"/>
      <c r="AG426" s="141">
        <f>IF($BK432&gt;0,1,0)</f>
        <v>0</v>
      </c>
      <c r="AH426" s="12">
        <f>IF($BK432=0,1,0)</f>
        <v>1</v>
      </c>
      <c r="AI426" s="129">
        <f>'Rate Tables'!$P$22</f>
        <v>965.7</v>
      </c>
      <c r="AJ426" s="129">
        <f>'Rate Tables'!$Q$22</f>
        <v>990.46</v>
      </c>
      <c r="AK426" s="661">
        <f>IF(AJ429&lt;=AL430,AJ429,AL430)</f>
        <v>0</v>
      </c>
      <c r="AL426" s="136">
        <f>((AG426*AI426)+(AH426*AJ426))*AK426</f>
        <v>0</v>
      </c>
      <c r="AM426" s="11"/>
      <c r="AN426" s="19"/>
      <c r="AO426" s="19"/>
      <c r="AP426" s="19"/>
      <c r="AQ426" s="19"/>
      <c r="AR426" s="141">
        <f>IF($BK432&gt;0,1,0)</f>
        <v>0</v>
      </c>
      <c r="AS426" s="12">
        <f>IF($BK432=0,1,0)</f>
        <v>1</v>
      </c>
      <c r="AT426" s="129">
        <f>'Rate Tables'!$P$23</f>
        <v>985.01</v>
      </c>
      <c r="AU426" s="129">
        <f>'Rate Tables'!$Q$23</f>
        <v>1010.27</v>
      </c>
      <c r="AV426" s="661">
        <f>IF(AU428&lt;=AW430,AU428,AW430)</f>
        <v>0</v>
      </c>
      <c r="AW426" s="136">
        <f>((AR426*AT426)+(AS426*AU426))*AV426</f>
        <v>0</v>
      </c>
      <c r="AX426" s="125"/>
      <c r="AY426" s="125"/>
      <c r="AZ426" s="125"/>
      <c r="BA426" s="125"/>
      <c r="BB426" s="125"/>
      <c r="BC426" s="141">
        <f>IF($BK432&gt;0,1,0)</f>
        <v>0</v>
      </c>
      <c r="BD426" s="12">
        <f>IF($BK432=0,1,0)</f>
        <v>1</v>
      </c>
      <c r="BE426" s="129">
        <f>'Rate Tables'!$P$24</f>
        <v>1004.71</v>
      </c>
      <c r="BF426" s="129">
        <f>'Rate Tables'!$Q$24</f>
        <v>1030.47</v>
      </c>
      <c r="BG426" s="661">
        <f>IF(BF428&lt;=BH430,BF428,BH430)</f>
        <v>0</v>
      </c>
      <c r="BH426" s="136">
        <f>((BC426*BE426)+(BD426*BF426))*BG426</f>
        <v>0</v>
      </c>
      <c r="BI426" s="19"/>
      <c r="BJ426" s="12"/>
      <c r="BK426" s="307"/>
      <c r="BL426" s="349"/>
      <c r="BM426" s="12"/>
      <c r="BN426" s="275"/>
      <c r="BO426" s="12"/>
    </row>
    <row r="427" spans="1:67" x14ac:dyDescent="0.25">
      <c r="A427" s="145"/>
      <c r="B427" s="12"/>
      <c r="C427" s="115"/>
      <c r="D427" s="12"/>
      <c r="E427" s="126"/>
      <c r="F427" s="19"/>
      <c r="G427" s="12"/>
      <c r="H427" s="12"/>
      <c r="I427" s="12"/>
      <c r="J427" s="141"/>
      <c r="K427" s="12"/>
      <c r="L427" s="129"/>
      <c r="M427" s="129"/>
      <c r="N427" s="661">
        <f>L415*M415*F415</f>
        <v>0</v>
      </c>
      <c r="O427" s="136"/>
      <c r="P427" s="19"/>
      <c r="Q427" s="19"/>
      <c r="R427" s="19"/>
      <c r="S427" s="19"/>
      <c r="T427" s="19"/>
      <c r="U427" s="12"/>
      <c r="V427" s="141"/>
      <c r="W427" s="12"/>
      <c r="X427" s="129"/>
      <c r="Y427" s="129"/>
      <c r="Z427" s="661"/>
      <c r="AA427" s="125"/>
      <c r="AB427" s="20"/>
      <c r="AC427" s="20"/>
      <c r="AD427" s="20"/>
      <c r="AE427" s="20"/>
      <c r="AF427" s="123"/>
      <c r="AG427" s="141"/>
      <c r="AH427" s="12"/>
      <c r="AI427" s="129"/>
      <c r="AJ427" s="129"/>
      <c r="AK427" s="731">
        <f>AI415*AJ415*F415</f>
        <v>0</v>
      </c>
      <c r="AL427" s="655">
        <f>ROUNDUP(AK427,0)</f>
        <v>0</v>
      </c>
      <c r="AM427" s="11"/>
      <c r="AN427" s="19"/>
      <c r="AO427" s="19"/>
      <c r="AP427" s="19"/>
      <c r="AQ427" s="19"/>
      <c r="AR427" s="141"/>
      <c r="AS427" s="12"/>
      <c r="AT427" s="129"/>
      <c r="AU427" s="129"/>
      <c r="AV427" s="731">
        <f>AT415*AU415*F415</f>
        <v>0</v>
      </c>
      <c r="AW427" s="655">
        <f>ROUNDUP(AV427,0)</f>
        <v>0</v>
      </c>
      <c r="AX427" s="125"/>
      <c r="AY427" s="125"/>
      <c r="AZ427" s="125"/>
      <c r="BA427" s="125"/>
      <c r="BB427" s="125"/>
      <c r="BC427" s="141"/>
      <c r="BD427" s="12"/>
      <c r="BE427" s="129"/>
      <c r="BF427" s="129"/>
      <c r="BG427" s="731">
        <f>BE415*BF415*F415</f>
        <v>0</v>
      </c>
      <c r="BH427" s="655">
        <f>ROUNDUP(BG427,0)</f>
        <v>0</v>
      </c>
      <c r="BI427" s="19"/>
      <c r="BJ427" s="12"/>
      <c r="BK427" s="307"/>
      <c r="BL427" s="349"/>
      <c r="BM427" s="12"/>
      <c r="BN427" s="275"/>
      <c r="BO427" s="12"/>
    </row>
    <row r="428" spans="1:67" x14ac:dyDescent="0.25">
      <c r="A428" s="145"/>
      <c r="B428" s="12"/>
      <c r="C428" s="115"/>
      <c r="D428" s="12"/>
      <c r="E428" s="126"/>
      <c r="F428" s="19"/>
      <c r="G428" s="12"/>
      <c r="H428" s="12"/>
      <c r="I428" s="12"/>
      <c r="J428" s="141"/>
      <c r="K428" s="12"/>
      <c r="L428" s="129"/>
      <c r="M428" s="129"/>
      <c r="N428" s="661">
        <f>L417*M417*F417</f>
        <v>0</v>
      </c>
      <c r="O428" s="136"/>
      <c r="P428" s="19"/>
      <c r="Q428" s="19"/>
      <c r="R428" s="19"/>
      <c r="S428" s="19"/>
      <c r="T428" s="19"/>
      <c r="U428" s="12"/>
      <c r="V428" s="141"/>
      <c r="W428" s="12"/>
      <c r="X428" s="129"/>
      <c r="Y428" s="129"/>
      <c r="Z428" s="731">
        <f>X415*Y415*F415</f>
        <v>0</v>
      </c>
      <c r="AA428" s="655">
        <f>ROUNDUP(Z428,0)</f>
        <v>0</v>
      </c>
      <c r="AB428" s="20"/>
      <c r="AC428" s="20"/>
      <c r="AD428" s="20"/>
      <c r="AE428" s="20"/>
      <c r="AF428" s="123"/>
      <c r="AG428" s="141"/>
      <c r="AH428" s="12"/>
      <c r="AI428" s="129"/>
      <c r="AJ428" s="129"/>
      <c r="AK428" s="731">
        <f>AI417*AJ417*F417</f>
        <v>0</v>
      </c>
      <c r="AL428" s="732">
        <f>ROUNDUP(AK428,0)</f>
        <v>0</v>
      </c>
      <c r="AM428" s="11"/>
      <c r="AN428" s="19"/>
      <c r="AO428" s="19"/>
      <c r="AP428" s="19"/>
      <c r="AQ428" s="19"/>
      <c r="AR428" s="141"/>
      <c r="AS428" s="12"/>
      <c r="AT428" s="653" t="s">
        <v>581</v>
      </c>
      <c r="AU428" s="653">
        <f>AJ429-AK423-AK424-AK425-AK426</f>
        <v>0</v>
      </c>
      <c r="AV428" s="731">
        <f>AT417*AU417*F417</f>
        <v>0</v>
      </c>
      <c r="AW428" s="732">
        <f>ROUNDUP(AV428,0)</f>
        <v>0</v>
      </c>
      <c r="AX428" s="119"/>
      <c r="AY428" s="119"/>
      <c r="AZ428" s="119"/>
      <c r="BA428" s="119"/>
      <c r="BB428" s="119"/>
      <c r="BC428" s="141"/>
      <c r="BD428" s="12"/>
      <c r="BE428" s="653" t="s">
        <v>581</v>
      </c>
      <c r="BF428" s="653">
        <f>AU429-AV423-AV424-AV425-AV426</f>
        <v>0</v>
      </c>
      <c r="BG428" s="731">
        <f>BE417*BF417*F417</f>
        <v>0</v>
      </c>
      <c r="BH428" s="732">
        <f>ROUNDUP(BG428,0)</f>
        <v>0</v>
      </c>
      <c r="BI428" s="19"/>
      <c r="BJ428" s="12"/>
      <c r="BK428" s="307"/>
      <c r="BL428" s="349"/>
      <c r="BM428" s="12"/>
      <c r="BN428" s="275"/>
      <c r="BO428" s="12"/>
    </row>
    <row r="429" spans="1:67" x14ac:dyDescent="0.25">
      <c r="A429" s="145"/>
      <c r="B429" s="12"/>
      <c r="C429" s="115"/>
      <c r="D429" s="12"/>
      <c r="E429" s="126"/>
      <c r="F429" s="19"/>
      <c r="G429" s="12" t="s">
        <v>585</v>
      </c>
      <c r="H429" s="12"/>
      <c r="I429" s="12"/>
      <c r="J429" s="141"/>
      <c r="K429" s="12"/>
      <c r="L429" s="129"/>
      <c r="M429" s="129"/>
      <c r="N429" s="661">
        <f>L419*M419*F419</f>
        <v>0</v>
      </c>
      <c r="O429" s="136"/>
      <c r="P429" s="19"/>
      <c r="Q429" s="19"/>
      <c r="R429" s="19"/>
      <c r="S429" s="19"/>
      <c r="T429" s="19"/>
      <c r="U429" s="12"/>
      <c r="V429" s="141"/>
      <c r="W429" s="12"/>
      <c r="X429" s="653" t="s">
        <v>581</v>
      </c>
      <c r="Y429" s="653">
        <f>BK424-N423-N424-N425-N426</f>
        <v>9</v>
      </c>
      <c r="Z429" s="731">
        <f>X417*Y417*F417</f>
        <v>0</v>
      </c>
      <c r="AA429" s="732">
        <f>ROUNDUP(Z429,0)</f>
        <v>0</v>
      </c>
      <c r="AB429" s="20"/>
      <c r="AC429" s="20"/>
      <c r="AD429" s="20"/>
      <c r="AE429" s="20"/>
      <c r="AF429" s="123"/>
      <c r="AG429" s="141"/>
      <c r="AH429" s="12"/>
      <c r="AI429" s="653" t="s">
        <v>581</v>
      </c>
      <c r="AJ429" s="653">
        <f>Y429-Z423-Z424-Z425-Z426</f>
        <v>0</v>
      </c>
      <c r="AK429" s="731">
        <f>AI419*AJ419*F419</f>
        <v>0.5161</v>
      </c>
      <c r="AL429" s="732">
        <f>ROUNDUP(AK429,0)</f>
        <v>1</v>
      </c>
      <c r="AM429" s="11"/>
      <c r="AN429" s="19"/>
      <c r="AO429" s="19"/>
      <c r="AP429" s="19"/>
      <c r="AQ429" s="19"/>
      <c r="AR429" s="141"/>
      <c r="AS429" s="12"/>
      <c r="AT429" s="129"/>
      <c r="AU429" s="129"/>
      <c r="AV429" s="731">
        <f>AT419*AU419*F419</f>
        <v>0</v>
      </c>
      <c r="AW429" s="732">
        <f>ROUNDUP(AV429,0)</f>
        <v>0</v>
      </c>
      <c r="AX429" s="119"/>
      <c r="AY429" s="119"/>
      <c r="AZ429" s="119"/>
      <c r="BA429" s="119"/>
      <c r="BB429" s="119"/>
      <c r="BC429" s="141"/>
      <c r="BD429" s="12"/>
      <c r="BE429" s="129"/>
      <c r="BF429" s="129"/>
      <c r="BG429" s="731">
        <f>BE419*BF419*F419</f>
        <v>0</v>
      </c>
      <c r="BH429" s="732">
        <f>ROUNDUP(BG429,0)</f>
        <v>0</v>
      </c>
      <c r="BI429" s="19"/>
      <c r="BJ429" s="12"/>
      <c r="BK429" s="307"/>
      <c r="BL429" s="349"/>
      <c r="BM429" s="12"/>
      <c r="BN429" s="275"/>
      <c r="BO429" s="12"/>
    </row>
    <row r="430" spans="1:67" ht="26.25" x14ac:dyDescent="0.25">
      <c r="A430" s="145"/>
      <c r="B430" s="12"/>
      <c r="C430" s="259" t="s">
        <v>606</v>
      </c>
      <c r="D430" s="12"/>
      <c r="E430" s="126"/>
      <c r="F430" s="19"/>
      <c r="G430" s="12"/>
      <c r="H430" s="12"/>
      <c r="I430" s="12"/>
      <c r="J430" s="12"/>
      <c r="K430" s="12"/>
      <c r="L430" s="12"/>
      <c r="M430" s="12"/>
      <c r="N430" s="662">
        <f>L421*M421*F421</f>
        <v>0</v>
      </c>
      <c r="O430" s="18"/>
      <c r="P430" s="19"/>
      <c r="Q430" s="19"/>
      <c r="R430" s="19"/>
      <c r="S430" s="19"/>
      <c r="T430" s="19"/>
      <c r="U430" s="12"/>
      <c r="V430" s="122"/>
      <c r="W430" s="122"/>
      <c r="X430" s="122"/>
      <c r="Y430" s="119"/>
      <c r="Z430" s="731">
        <f>X419*Y419*F419</f>
        <v>8.4839000000000002</v>
      </c>
      <c r="AA430" s="732">
        <f>ROUNDUP(Z430,0)</f>
        <v>9</v>
      </c>
      <c r="AB430" s="20"/>
      <c r="AC430" s="20"/>
      <c r="AD430" s="20"/>
      <c r="AE430" s="20"/>
      <c r="AF430" s="123"/>
      <c r="AG430" s="122"/>
      <c r="AH430" s="122"/>
      <c r="AI430" s="122"/>
      <c r="AJ430" s="122"/>
      <c r="AK430" s="733">
        <f>AI421*AJ421*F421</f>
        <v>0</v>
      </c>
      <c r="AL430" s="659">
        <f>ROUNDUP(AK430,0)</f>
        <v>0</v>
      </c>
      <c r="AM430" s="11"/>
      <c r="AN430" s="19"/>
      <c r="AO430" s="19"/>
      <c r="AP430" s="19"/>
      <c r="AQ430" s="19"/>
      <c r="AR430" s="122"/>
      <c r="AS430" s="122"/>
      <c r="AT430" s="122"/>
      <c r="AU430" s="122"/>
      <c r="AV430" s="733">
        <f>AT421*AU421*F421</f>
        <v>0</v>
      </c>
      <c r="AW430" s="659">
        <f>ROUNDUP(AV430,0)</f>
        <v>0</v>
      </c>
      <c r="AX430" s="119"/>
      <c r="AY430" s="119"/>
      <c r="AZ430" s="119"/>
      <c r="BA430" s="119"/>
      <c r="BB430" s="119"/>
      <c r="BC430" s="122"/>
      <c r="BD430" s="122"/>
      <c r="BE430" s="122"/>
      <c r="BF430" s="122"/>
      <c r="BG430" s="733">
        <f>BE421*BF421*F421</f>
        <v>0</v>
      </c>
      <c r="BH430" s="659">
        <f>ROUNDUP(BG430,0)</f>
        <v>0</v>
      </c>
      <c r="BI430" s="19"/>
      <c r="BJ430" s="12"/>
      <c r="BK430" s="748" t="s">
        <v>411</v>
      </c>
      <c r="BL430" s="352" t="str">
        <f>Personnel!W100</f>
        <v>None</v>
      </c>
      <c r="BM430" s="276" t="s">
        <v>117</v>
      </c>
      <c r="BN430" s="285">
        <f>(N432+N434+N436+N438+W432+W434+W436+W438+AJ432+AJ434+AJ436+AJ438+AU432+AU434+AU436+AU438+BF432+BF434+BF436+BF438)*BI432</f>
        <v>0</v>
      </c>
      <c r="BO430" s="15"/>
    </row>
    <row r="431" spans="1:67" x14ac:dyDescent="0.25">
      <c r="A431" s="145"/>
      <c r="B431" s="12"/>
      <c r="C431" s="117" t="s">
        <v>30</v>
      </c>
      <c r="D431" s="12"/>
      <c r="E431" s="13" t="s">
        <v>84</v>
      </c>
      <c r="F431" s="13" t="s">
        <v>42</v>
      </c>
      <c r="G431" s="13" t="s">
        <v>41</v>
      </c>
      <c r="H431" s="65" t="s">
        <v>77</v>
      </c>
      <c r="I431" s="137" t="s">
        <v>101</v>
      </c>
      <c r="J431" s="139" t="s">
        <v>102</v>
      </c>
      <c r="K431" s="127" t="s">
        <v>98</v>
      </c>
      <c r="L431" s="13" t="s">
        <v>100</v>
      </c>
      <c r="M431" s="13" t="s">
        <v>82</v>
      </c>
      <c r="N431" s="13" t="s">
        <v>31</v>
      </c>
      <c r="O431" s="14" t="s">
        <v>69</v>
      </c>
      <c r="P431" s="13" t="s">
        <v>72</v>
      </c>
      <c r="Q431" s="13" t="s">
        <v>103</v>
      </c>
      <c r="R431" s="65" t="s">
        <v>77</v>
      </c>
      <c r="S431" s="137" t="s">
        <v>101</v>
      </c>
      <c r="T431" s="139" t="s">
        <v>102</v>
      </c>
      <c r="U431" s="12" t="s">
        <v>98</v>
      </c>
      <c r="V431" s="13" t="s">
        <v>100</v>
      </c>
      <c r="W431" s="13" t="s">
        <v>32</v>
      </c>
      <c r="X431" s="13" t="s">
        <v>69</v>
      </c>
      <c r="Y431" s="13"/>
      <c r="Z431" s="658">
        <f>X421*Y421*F421</f>
        <v>0</v>
      </c>
      <c r="AA431" s="659">
        <f>ROUNDUP(Z431,0)</f>
        <v>0</v>
      </c>
      <c r="AB431" s="13" t="s">
        <v>72</v>
      </c>
      <c r="AC431" s="13" t="s">
        <v>103</v>
      </c>
      <c r="AD431" s="13"/>
      <c r="AE431" s="65" t="s">
        <v>77</v>
      </c>
      <c r="AF431" s="137" t="s">
        <v>101</v>
      </c>
      <c r="AG431" s="139" t="s">
        <v>102</v>
      </c>
      <c r="AH431" s="12" t="s">
        <v>98</v>
      </c>
      <c r="AI431" s="13" t="s">
        <v>100</v>
      </c>
      <c r="AJ431" s="13" t="s">
        <v>33</v>
      </c>
      <c r="AK431" s="13" t="s">
        <v>69</v>
      </c>
      <c r="AL431" s="18"/>
      <c r="AM431" s="13" t="s">
        <v>72</v>
      </c>
      <c r="AN431" s="13" t="s">
        <v>103</v>
      </c>
      <c r="AO431" s="13"/>
      <c r="AP431" s="65" t="s">
        <v>77</v>
      </c>
      <c r="AQ431" s="137" t="s">
        <v>101</v>
      </c>
      <c r="AR431" s="139" t="s">
        <v>102</v>
      </c>
      <c r="AS431" s="12" t="s">
        <v>98</v>
      </c>
      <c r="AT431" s="13" t="s">
        <v>100</v>
      </c>
      <c r="AU431" s="13" t="s">
        <v>33</v>
      </c>
      <c r="AV431" s="13" t="s">
        <v>69</v>
      </c>
      <c r="AW431" s="18"/>
      <c r="AX431" s="13" t="s">
        <v>72</v>
      </c>
      <c r="AY431" s="13" t="s">
        <v>103</v>
      </c>
      <c r="AZ431" s="13"/>
      <c r="BA431" s="65" t="s">
        <v>77</v>
      </c>
      <c r="BB431" s="137" t="s">
        <v>101</v>
      </c>
      <c r="BC431" s="139" t="s">
        <v>102</v>
      </c>
      <c r="BD431" s="12" t="s">
        <v>98</v>
      </c>
      <c r="BE431" s="13" t="s">
        <v>100</v>
      </c>
      <c r="BF431" s="13" t="s">
        <v>33</v>
      </c>
      <c r="BG431" s="13" t="s">
        <v>69</v>
      </c>
      <c r="BH431" s="18"/>
      <c r="BI431" s="13" t="s">
        <v>159</v>
      </c>
      <c r="BJ431" s="12"/>
      <c r="BK431" s="276" t="s">
        <v>95</v>
      </c>
      <c r="BL431" s="349"/>
      <c r="BM431" s="276" t="s">
        <v>186</v>
      </c>
      <c r="BN431" s="277">
        <f>BN430*'Rate Tables'!P$8</f>
        <v>0</v>
      </c>
      <c r="BO431" s="224"/>
    </row>
    <row r="432" spans="1:67" x14ac:dyDescent="0.25">
      <c r="A432" s="145"/>
      <c r="B432" s="12"/>
      <c r="C432" s="115"/>
      <c r="D432" s="12"/>
      <c r="E432" s="211">
        <f>IF(H461&lt;=H462,H461,H462)</f>
        <v>0</v>
      </c>
      <c r="F432" s="19">
        <f>IF($D$4=2022,1,0)</f>
        <v>0</v>
      </c>
      <c r="G432" s="178">
        <f>IF($B$461="Yes",$C$5,$I460)</f>
        <v>12</v>
      </c>
      <c r="H432" s="36">
        <f>H415</f>
        <v>3</v>
      </c>
      <c r="I432" s="138">
        <f>VLOOKUP(J415,'Lookup Tables'!$AB$22:$AC$31,2,FALSE)</f>
        <v>32</v>
      </c>
      <c r="J432" s="140">
        <f>VLOOKUP(U415,'Lookup Tables'!$AB$32:$AC$41,2,FALSE)</f>
        <v>33</v>
      </c>
      <c r="K432" s="123">
        <f>E432-J432</f>
        <v>-33</v>
      </c>
      <c r="L432" s="12">
        <f>IF(K432&gt;0,1,0)</f>
        <v>0</v>
      </c>
      <c r="M432" s="119">
        <f>M415</f>
        <v>0</v>
      </c>
      <c r="N432" s="15">
        <f>((((('Rate Tables'!B89*9)*0.02778)/5)*K432)*L432)*F432*M432*BK434</f>
        <v>0</v>
      </c>
      <c r="O432" s="28">
        <f>O415</f>
        <v>12</v>
      </c>
      <c r="P432" s="8">
        <f>IF(O432&lt;0,O432*0,1)*O432</f>
        <v>12</v>
      </c>
      <c r="Q432" s="123">
        <f>(E432-K432*F432*L432*M432)</f>
        <v>0</v>
      </c>
      <c r="R432" s="36">
        <f>S415</f>
        <v>3</v>
      </c>
      <c r="S432" s="138">
        <f>VLOOKUP(U415,'Lookup Tables'!$AB$22:$AC$31,2,FALSE)</f>
        <v>32</v>
      </c>
      <c r="T432" s="140">
        <f>VLOOKUP(AF415,'Lookup Tables'!$AB$32:$AC$41,2,FALSE)</f>
        <v>33</v>
      </c>
      <c r="U432" s="129">
        <f>Q432-T432</f>
        <v>-33</v>
      </c>
      <c r="V432" s="12">
        <f>IF(U432&gt;0,1,0)</f>
        <v>0</v>
      </c>
      <c r="W432" s="15">
        <f>((('Rate Tables'!C89*9)*0.02778)/5)*U432*F432*V432*BK434</f>
        <v>0</v>
      </c>
      <c r="X432" s="8">
        <f>AA415</f>
        <v>2</v>
      </c>
      <c r="Y432" s="12"/>
      <c r="Z432" s="119"/>
      <c r="AA432" s="18"/>
      <c r="AB432" s="8">
        <f>IF(X432&lt;0,X432*0,1)*X432</f>
        <v>2</v>
      </c>
      <c r="AC432" s="123">
        <f>Q432-(U432*V432)</f>
        <v>0</v>
      </c>
      <c r="AD432" s="12"/>
      <c r="AE432" s="36">
        <f>AE415</f>
        <v>1</v>
      </c>
      <c r="AF432" s="138">
        <f>VLOOKUP(AF415,'Lookup Tables'!$AB$22:$AC$31,2,FALSE)</f>
        <v>32</v>
      </c>
      <c r="AG432" s="140">
        <f>VLOOKUP(AQ415,'Lookup Tables'!$AB$32:$AC$41,2,FALSE)</f>
        <v>0</v>
      </c>
      <c r="AH432" s="125">
        <f>AC432-AG432</f>
        <v>0</v>
      </c>
      <c r="AI432" s="12">
        <f>IF(AH432&gt;0,1,0)</f>
        <v>0</v>
      </c>
      <c r="AJ432" s="15">
        <f>((('Rate Tables'!D89*9)*0.02778)/5)*AH432*AI432*F432*BK434</f>
        <v>0</v>
      </c>
      <c r="AK432" s="8">
        <f>AL415</f>
        <v>0</v>
      </c>
      <c r="AL432" s="18"/>
      <c r="AM432" s="8">
        <f>IF(AK432&lt;0,AK432*0,1)*AK432</f>
        <v>0</v>
      </c>
      <c r="AN432" s="123">
        <f>AC432-(AH432*AI432)</f>
        <v>0</v>
      </c>
      <c r="AO432" s="123"/>
      <c r="AP432" s="36">
        <f>AP415</f>
        <v>3</v>
      </c>
      <c r="AQ432" s="138">
        <f>VLOOKUP(AQ415,'Lookup Tables'!$AB$22:$AC$31,2,FALSE)</f>
        <v>0</v>
      </c>
      <c r="AR432" s="140">
        <f>VLOOKUP(BB415,'Lookup Tables'!$AB$32:$AC$41,2,FALSE)</f>
        <v>0</v>
      </c>
      <c r="AS432" s="125">
        <f>AN432-AR432</f>
        <v>0</v>
      </c>
      <c r="AT432" s="12">
        <f>IF(AS432&gt;0,1,0)</f>
        <v>0</v>
      </c>
      <c r="AU432" s="15">
        <f>((('Rate Tables'!E89*9)*0.02778)/5)*AS432*AT432*F432*BK434</f>
        <v>0</v>
      </c>
      <c r="AV432" s="8">
        <f>AW415</f>
        <v>0</v>
      </c>
      <c r="AW432" s="18"/>
      <c r="AX432" s="8">
        <f>IF(AV432&lt;0,AV432*0,1)*AV432</f>
        <v>0</v>
      </c>
      <c r="AY432" s="123">
        <f>AN432-(AS432*AT432)</f>
        <v>0</v>
      </c>
      <c r="AZ432" s="123"/>
      <c r="BA432" s="36">
        <f>BA415</f>
        <v>3</v>
      </c>
      <c r="BB432" s="138">
        <f>VLOOKUP(BB415,'Lookup Tables'!$AB$22:$AC$31,2,FALSE)</f>
        <v>0</v>
      </c>
      <c r="BC432" s="140">
        <v>0</v>
      </c>
      <c r="BD432" s="125">
        <f>AY432-BC432</f>
        <v>0</v>
      </c>
      <c r="BE432" s="12">
        <f>IF(BD432&gt;0,1,0)</f>
        <v>0</v>
      </c>
      <c r="BF432" s="15">
        <f>((('Rate Tables'!F89*9)*0.02778)/5)*BD432*BE432*F432*BK434</f>
        <v>0</v>
      </c>
      <c r="BG432" s="8">
        <f>BH415</f>
        <v>0</v>
      </c>
      <c r="BH432" s="18"/>
      <c r="BI432" s="19">
        <f>VLOOKUP(B411,'Lookup Tables'!$AK$22:$AM$24,2,0)</f>
        <v>0</v>
      </c>
      <c r="BJ432" s="12"/>
      <c r="BK432" s="308">
        <f>VLOOKUP(BL430,'Lookup Tables'!$AF$22:$AG$24,2,FALSE)</f>
        <v>0</v>
      </c>
      <c r="BL432" s="350"/>
      <c r="BM432" s="12"/>
      <c r="BN432" s="275"/>
      <c r="BO432" s="12"/>
    </row>
    <row r="433" spans="1:67" x14ac:dyDescent="0.25">
      <c r="A433" s="145"/>
      <c r="B433" s="12"/>
      <c r="C433" s="117" t="s">
        <v>597</v>
      </c>
      <c r="D433" s="12"/>
      <c r="E433" s="13" t="s">
        <v>84</v>
      </c>
      <c r="F433" s="13" t="s">
        <v>42</v>
      </c>
      <c r="G433" s="13" t="s">
        <v>41</v>
      </c>
      <c r="H433" s="65" t="s">
        <v>77</v>
      </c>
      <c r="I433" s="137" t="s">
        <v>105</v>
      </c>
      <c r="J433" s="139" t="s">
        <v>106</v>
      </c>
      <c r="K433" s="127" t="s">
        <v>99</v>
      </c>
      <c r="L433" s="13" t="s">
        <v>100</v>
      </c>
      <c r="M433" s="13" t="s">
        <v>82</v>
      </c>
      <c r="N433" s="13" t="s">
        <v>32</v>
      </c>
      <c r="O433" s="14" t="s">
        <v>69</v>
      </c>
      <c r="P433" s="13" t="s">
        <v>72</v>
      </c>
      <c r="Q433" s="13" t="s">
        <v>103</v>
      </c>
      <c r="R433" s="65" t="s">
        <v>77</v>
      </c>
      <c r="S433" s="137" t="s">
        <v>105</v>
      </c>
      <c r="T433" s="139" t="s">
        <v>106</v>
      </c>
      <c r="U433" s="12" t="s">
        <v>98</v>
      </c>
      <c r="V433" s="13" t="s">
        <v>100</v>
      </c>
      <c r="W433" s="13" t="s">
        <v>33</v>
      </c>
      <c r="X433" s="13" t="s">
        <v>69</v>
      </c>
      <c r="Y433" s="13"/>
      <c r="Z433" s="13"/>
      <c r="AA433" s="18"/>
      <c r="AB433" s="13" t="s">
        <v>72</v>
      </c>
      <c r="AC433" s="13" t="s">
        <v>104</v>
      </c>
      <c r="AD433" s="13"/>
      <c r="AE433" s="65" t="s">
        <v>77</v>
      </c>
      <c r="AF433" s="137" t="s">
        <v>105</v>
      </c>
      <c r="AG433" s="139" t="s">
        <v>106</v>
      </c>
      <c r="AH433" s="12" t="s">
        <v>98</v>
      </c>
      <c r="AI433" s="13" t="s">
        <v>100</v>
      </c>
      <c r="AJ433" s="13" t="s">
        <v>34</v>
      </c>
      <c r="AK433" s="13" t="s">
        <v>69</v>
      </c>
      <c r="AL433" s="18"/>
      <c r="AM433" s="13" t="s">
        <v>72</v>
      </c>
      <c r="AN433" s="13" t="s">
        <v>104</v>
      </c>
      <c r="AO433" s="13"/>
      <c r="AP433" s="65" t="s">
        <v>77</v>
      </c>
      <c r="AQ433" s="137" t="s">
        <v>105</v>
      </c>
      <c r="AR433" s="139" t="s">
        <v>106</v>
      </c>
      <c r="AS433" s="12" t="s">
        <v>98</v>
      </c>
      <c r="AT433" s="13" t="s">
        <v>100</v>
      </c>
      <c r="AU433" s="13" t="s">
        <v>34</v>
      </c>
      <c r="AV433" s="13" t="s">
        <v>69</v>
      </c>
      <c r="AW433" s="18"/>
      <c r="AX433" s="13" t="s">
        <v>72</v>
      </c>
      <c r="AY433" s="13" t="s">
        <v>104</v>
      </c>
      <c r="AZ433" s="13"/>
      <c r="BA433" s="65" t="s">
        <v>77</v>
      </c>
      <c r="BB433" s="137" t="s">
        <v>105</v>
      </c>
      <c r="BC433" s="139" t="s">
        <v>106</v>
      </c>
      <c r="BD433" s="12" t="s">
        <v>98</v>
      </c>
      <c r="BE433" s="13" t="s">
        <v>100</v>
      </c>
      <c r="BF433" s="13" t="s">
        <v>34</v>
      </c>
      <c r="BG433" s="13" t="s">
        <v>69</v>
      </c>
      <c r="BH433" s="18"/>
      <c r="BI433" s="13"/>
      <c r="BJ433" s="12"/>
      <c r="BK433" s="227" t="s">
        <v>126</v>
      </c>
      <c r="BL433" s="349" t="s">
        <v>643</v>
      </c>
      <c r="BM433" s="276" t="s">
        <v>187</v>
      </c>
      <c r="BN433" s="286">
        <f>(((O440+O441+O442+O443+AA440+AA441+AA442+AA443+AL440+AL441+AL442+AL443+AW440+AW441+AW442+AW443+BH440+BH441+BH442+BH443)*BI440)*BN434)*BL436</f>
        <v>0</v>
      </c>
      <c r="BO433" s="146"/>
    </row>
    <row r="434" spans="1:67" x14ac:dyDescent="0.25">
      <c r="A434" s="145"/>
      <c r="B434" s="12"/>
      <c r="C434" s="115"/>
      <c r="D434" s="12"/>
      <c r="E434" s="128">
        <f>E432</f>
        <v>0</v>
      </c>
      <c r="F434" s="19">
        <f>IF($D$4=2023,1,0)</f>
        <v>0</v>
      </c>
      <c r="G434" s="178">
        <f>IF($B$461="Yes",$C$5,$I460)</f>
        <v>12</v>
      </c>
      <c r="H434" s="36">
        <f>H417</f>
        <v>3</v>
      </c>
      <c r="I434" s="138">
        <f>VLOOKUP(J417,'Lookup Tables'!$AB$22:$AC$31,2,FALSE)</f>
        <v>32</v>
      </c>
      <c r="J434" s="140">
        <f>VLOOKUP(U417,'Lookup Tables'!$AB$32:$AC$41,2,FALSE)</f>
        <v>33</v>
      </c>
      <c r="K434" s="123">
        <f>E434-J434</f>
        <v>-33</v>
      </c>
      <c r="L434" s="12">
        <f>IF(K434&gt;0,1,0)</f>
        <v>0</v>
      </c>
      <c r="M434" s="119">
        <f>M417</f>
        <v>0</v>
      </c>
      <c r="N434" s="15">
        <f>((((('Rate Tables'!C89*9)*0.02778)/5)*K434)*L434)*F434*M434*BK434</f>
        <v>0</v>
      </c>
      <c r="O434" s="28">
        <f>O417</f>
        <v>12</v>
      </c>
      <c r="P434" s="8">
        <f>IF(O434&lt;0,O434*0,1)*O434</f>
        <v>12</v>
      </c>
      <c r="Q434" s="123">
        <f>(E434-K434*F434*L434*M434)</f>
        <v>0</v>
      </c>
      <c r="R434" s="36">
        <f>S417</f>
        <v>3</v>
      </c>
      <c r="S434" s="138">
        <f>VLOOKUP(U417,'Lookup Tables'!$AB$22:$AC$31,2,FALSE)</f>
        <v>32</v>
      </c>
      <c r="T434" s="140">
        <f>VLOOKUP(AF417,'Lookup Tables'!$AB$32:$AC$41,2,FALSE)</f>
        <v>33</v>
      </c>
      <c r="U434" s="129">
        <f>Q434-T434</f>
        <v>-33</v>
      </c>
      <c r="V434" s="12">
        <f>IF(U434&gt;0,1,0)</f>
        <v>0</v>
      </c>
      <c r="W434" s="15">
        <f>((('Rate Tables'!D89*9)*0.02778)/5)*U434*F434*V434*BK434</f>
        <v>0</v>
      </c>
      <c r="X434" s="8">
        <f>AA417</f>
        <v>2</v>
      </c>
      <c r="Y434" s="12"/>
      <c r="Z434" s="119"/>
      <c r="AA434" s="18"/>
      <c r="AB434" s="8">
        <f>IF(X434&lt;0,X434*0,1)*X434</f>
        <v>2</v>
      </c>
      <c r="AC434" s="123">
        <f>Q434-(U434*V434)</f>
        <v>0</v>
      </c>
      <c r="AD434" s="12"/>
      <c r="AE434" s="36">
        <f>AE417</f>
        <v>1</v>
      </c>
      <c r="AF434" s="138">
        <f>VLOOKUP(AF417,'Lookup Tables'!$AB$22:$AC$31,2,FALSE)</f>
        <v>32</v>
      </c>
      <c r="AG434" s="140">
        <f>VLOOKUP(AQ417,'Lookup Tables'!$AB$32:$AC$41,2,FALSE)</f>
        <v>0</v>
      </c>
      <c r="AH434" s="125">
        <f>AC434-AG434</f>
        <v>0</v>
      </c>
      <c r="AI434" s="12">
        <f>IF(AH434&gt;0,1,0)</f>
        <v>0</v>
      </c>
      <c r="AJ434" s="15">
        <f>((('Rate Tables'!E89*9)*0.02778)/5)*AH434*AI434*F434*BK434</f>
        <v>0</v>
      </c>
      <c r="AK434" s="8">
        <f>AL417</f>
        <v>0</v>
      </c>
      <c r="AL434" s="18"/>
      <c r="AM434" s="8">
        <f>IF(AK434&lt;0,AK434*0,1)*AK434</f>
        <v>0</v>
      </c>
      <c r="AN434" s="123">
        <f>AC434-(AH434*AI434)</f>
        <v>0</v>
      </c>
      <c r="AO434" s="12"/>
      <c r="AP434" s="36">
        <f>AP417</f>
        <v>3</v>
      </c>
      <c r="AQ434" s="138">
        <f>VLOOKUP(AQ417,'Lookup Tables'!$AB$22:$AC$31,2,FALSE)</f>
        <v>0</v>
      </c>
      <c r="AR434" s="140">
        <f>VLOOKUP(BB417,'Lookup Tables'!$AB$32:$AC$41,2,FALSE)</f>
        <v>0</v>
      </c>
      <c r="AS434" s="125">
        <f>AN434-AR434</f>
        <v>0</v>
      </c>
      <c r="AT434" s="12">
        <f>IF(AS434&gt;0,1,0)</f>
        <v>0</v>
      </c>
      <c r="AU434" s="15">
        <f>((('Rate Tables'!F89*9)*0.02778)/5)*AS434*AT434*F434*BK434</f>
        <v>0</v>
      </c>
      <c r="AV434" s="8">
        <f>AW417</f>
        <v>0</v>
      </c>
      <c r="AW434" s="18"/>
      <c r="AX434" s="8">
        <f>IF(AV434&lt;0,AV434*0,1)*AV434</f>
        <v>0</v>
      </c>
      <c r="AY434" s="123">
        <f>AN434-(AS434*AT434)</f>
        <v>0</v>
      </c>
      <c r="AZ434" s="12"/>
      <c r="BA434" s="36">
        <f>BA417</f>
        <v>3</v>
      </c>
      <c r="BB434" s="138">
        <f>VLOOKUP(BB417,'Lookup Tables'!$AB$22:$AC$31,2,FALSE)</f>
        <v>0</v>
      </c>
      <c r="BC434" s="140">
        <v>0</v>
      </c>
      <c r="BD434" s="125">
        <f>AY434-BC434</f>
        <v>0</v>
      </c>
      <c r="BE434" s="12">
        <f>IF(BD434&gt;0,1,0)</f>
        <v>0</v>
      </c>
      <c r="BF434" s="15">
        <f>((('Rate Tables'!G89*9)*0.02778)/5)*BD434*BE434*F434*BK434</f>
        <v>0</v>
      </c>
      <c r="BG434" s="8">
        <f>BH417</f>
        <v>0</v>
      </c>
      <c r="BH434" s="18"/>
      <c r="BI434" s="19"/>
      <c r="BJ434" s="12"/>
      <c r="BK434" s="319">
        <f>VLOOKUP(BL430,'Lookup Tables'!$AF$26:$AG$28,2,0)</f>
        <v>0</v>
      </c>
      <c r="BL434" s="350" t="s">
        <v>644</v>
      </c>
      <c r="BM434" s="227" t="s">
        <v>582</v>
      </c>
      <c r="BN434" s="663">
        <f>IF(BN430&gt;0,1,0)</f>
        <v>0</v>
      </c>
      <c r="BO434" s="12"/>
    </row>
    <row r="435" spans="1:67" x14ac:dyDescent="0.25">
      <c r="A435" s="145"/>
      <c r="B435" s="12"/>
      <c r="C435" s="117" t="s">
        <v>664</v>
      </c>
      <c r="D435" s="12"/>
      <c r="E435" s="13" t="s">
        <v>84</v>
      </c>
      <c r="F435" s="13" t="s">
        <v>42</v>
      </c>
      <c r="G435" s="13" t="s">
        <v>41</v>
      </c>
      <c r="H435" s="65" t="s">
        <v>77</v>
      </c>
      <c r="I435" s="137" t="s">
        <v>105</v>
      </c>
      <c r="J435" s="139" t="s">
        <v>106</v>
      </c>
      <c r="K435" s="127" t="s">
        <v>99</v>
      </c>
      <c r="L435" s="13" t="s">
        <v>100</v>
      </c>
      <c r="M435" s="13" t="s">
        <v>82</v>
      </c>
      <c r="N435" s="13" t="s">
        <v>32</v>
      </c>
      <c r="O435" s="14" t="s">
        <v>69</v>
      </c>
      <c r="P435" s="13" t="s">
        <v>72</v>
      </c>
      <c r="Q435" s="13" t="s">
        <v>103</v>
      </c>
      <c r="R435" s="65" t="s">
        <v>77</v>
      </c>
      <c r="S435" s="137" t="s">
        <v>105</v>
      </c>
      <c r="T435" s="139" t="s">
        <v>106</v>
      </c>
      <c r="U435" s="12" t="s">
        <v>98</v>
      </c>
      <c r="V435" s="13" t="s">
        <v>100</v>
      </c>
      <c r="W435" s="13" t="s">
        <v>33</v>
      </c>
      <c r="X435" s="13" t="s">
        <v>69</v>
      </c>
      <c r="Y435" s="13"/>
      <c r="Z435" s="13"/>
      <c r="AA435" s="18"/>
      <c r="AB435" s="13" t="s">
        <v>72</v>
      </c>
      <c r="AC435" s="13" t="s">
        <v>104</v>
      </c>
      <c r="AD435" s="13"/>
      <c r="AE435" s="65" t="s">
        <v>77</v>
      </c>
      <c r="AF435" s="137" t="s">
        <v>105</v>
      </c>
      <c r="AG435" s="139" t="s">
        <v>106</v>
      </c>
      <c r="AH435" s="12" t="s">
        <v>98</v>
      </c>
      <c r="AI435" s="13" t="s">
        <v>100</v>
      </c>
      <c r="AJ435" s="13" t="s">
        <v>34</v>
      </c>
      <c r="AK435" s="13" t="s">
        <v>69</v>
      </c>
      <c r="AL435" s="18"/>
      <c r="AM435" s="13" t="s">
        <v>72</v>
      </c>
      <c r="AN435" s="13" t="s">
        <v>104</v>
      </c>
      <c r="AO435" s="13"/>
      <c r="AP435" s="65" t="s">
        <v>77</v>
      </c>
      <c r="AQ435" s="137" t="s">
        <v>105</v>
      </c>
      <c r="AR435" s="139" t="s">
        <v>106</v>
      </c>
      <c r="AS435" s="12" t="s">
        <v>98</v>
      </c>
      <c r="AT435" s="13" t="s">
        <v>100</v>
      </c>
      <c r="AU435" s="13" t="s">
        <v>34</v>
      </c>
      <c r="AV435" s="13" t="s">
        <v>69</v>
      </c>
      <c r="AW435" s="18"/>
      <c r="AX435" s="13" t="s">
        <v>72</v>
      </c>
      <c r="AY435" s="13" t="s">
        <v>104</v>
      </c>
      <c r="AZ435" s="13"/>
      <c r="BA435" s="65" t="s">
        <v>77</v>
      </c>
      <c r="BB435" s="137" t="s">
        <v>105</v>
      </c>
      <c r="BC435" s="139" t="s">
        <v>106</v>
      </c>
      <c r="BD435" s="12" t="s">
        <v>98</v>
      </c>
      <c r="BE435" s="13" t="s">
        <v>100</v>
      </c>
      <c r="BF435" s="13" t="s">
        <v>34</v>
      </c>
      <c r="BG435" s="13" t="s">
        <v>69</v>
      </c>
      <c r="BH435" s="18"/>
      <c r="BI435" s="19"/>
      <c r="BJ435" s="12"/>
      <c r="BK435" s="227"/>
      <c r="BL435" s="358" t="str">
        <f>IF(BL430="50% sum","no",Personnel!W102)</f>
        <v>No</v>
      </c>
      <c r="BM435" s="12"/>
      <c r="BN435" s="275"/>
      <c r="BO435" s="12"/>
    </row>
    <row r="436" spans="1:67" x14ac:dyDescent="0.25">
      <c r="A436" s="145"/>
      <c r="B436" s="12"/>
      <c r="C436" s="115"/>
      <c r="D436" s="12"/>
      <c r="E436" s="128">
        <f>E434</f>
        <v>0</v>
      </c>
      <c r="F436" s="19">
        <f>IF($D$4=2024,1,0)</f>
        <v>1</v>
      </c>
      <c r="G436" s="178">
        <f>IF($B$461="Yes",$C$5,$I460)</f>
        <v>12</v>
      </c>
      <c r="H436" s="36">
        <f>H419</f>
        <v>3</v>
      </c>
      <c r="I436" s="138">
        <f>VLOOKUP(J419,'Lookup Tables'!$AB$22:$AC$31,2,FALSE)</f>
        <v>32</v>
      </c>
      <c r="J436" s="140">
        <f>VLOOKUP(U419,'Lookup Tables'!$AB$32:$AC$41,2,FALSE)</f>
        <v>33</v>
      </c>
      <c r="K436" s="123">
        <f>E436-J436</f>
        <v>-33</v>
      </c>
      <c r="L436" s="12">
        <f>IF(K436&gt;0,1,0)</f>
        <v>0</v>
      </c>
      <c r="M436" s="119">
        <f>M419</f>
        <v>0</v>
      </c>
      <c r="N436" s="15">
        <f>((((('Rate Tables'!D89*9)*0.02778)/5)*K436)*L436)*F436*M436*BK434</f>
        <v>0</v>
      </c>
      <c r="O436" s="28">
        <f>O419</f>
        <v>12</v>
      </c>
      <c r="P436" s="8">
        <f>IF(O436&lt;0,O436*0,1)*O436</f>
        <v>12</v>
      </c>
      <c r="Q436" s="123">
        <f>(E436-K436*F436*L436*M436)</f>
        <v>0</v>
      </c>
      <c r="R436" s="36">
        <f>S419</f>
        <v>3</v>
      </c>
      <c r="S436" s="138">
        <f>VLOOKUP(U419,'Lookup Tables'!$AB$22:$AC$31,2,FALSE)</f>
        <v>32</v>
      </c>
      <c r="T436" s="140">
        <f>VLOOKUP(AF419,'Lookup Tables'!$AB$32:$AC$41,2,FALSE)</f>
        <v>33</v>
      </c>
      <c r="U436" s="129">
        <f>Q436-T436</f>
        <v>-33</v>
      </c>
      <c r="V436" s="12">
        <f>IF(U436&gt;0,1,0)</f>
        <v>0</v>
      </c>
      <c r="W436" s="15">
        <f>((('Rate Tables'!E89*9)*0.02778)/5)*U436*F436*V436*BK434</f>
        <v>0</v>
      </c>
      <c r="X436" s="8">
        <f>AA419</f>
        <v>2</v>
      </c>
      <c r="Y436" s="12"/>
      <c r="Z436" s="119"/>
      <c r="AA436" s="18"/>
      <c r="AB436" s="8">
        <f>IF(X436&lt;0,X436*0,1)*X436</f>
        <v>2</v>
      </c>
      <c r="AC436" s="123">
        <f>Q436-(U436*V436)</f>
        <v>0</v>
      </c>
      <c r="AD436" s="12"/>
      <c r="AE436" s="36">
        <f>AE419</f>
        <v>1</v>
      </c>
      <c r="AF436" s="138">
        <f>VLOOKUP(AF419,'Lookup Tables'!$AB$22:$AC$31,2,FALSE)</f>
        <v>32</v>
      </c>
      <c r="AG436" s="140">
        <f>VLOOKUP(AQ419,'Lookup Tables'!$AB$32:$AC$41,2,FALSE)</f>
        <v>0</v>
      </c>
      <c r="AH436" s="125">
        <f>AC436-AG436</f>
        <v>0</v>
      </c>
      <c r="AI436" s="12">
        <f>IF(AH436&gt;0,1,0)</f>
        <v>0</v>
      </c>
      <c r="AJ436" s="15">
        <f>((('Rate Tables'!F89*9)*0.02778)/5)*AH436*AI436*F436*BK434</f>
        <v>0</v>
      </c>
      <c r="AK436" s="8">
        <f>AL419</f>
        <v>0</v>
      </c>
      <c r="AL436" s="18"/>
      <c r="AM436" s="8">
        <f>IF(AK436&lt;0,AK436*0,1)*AK436</f>
        <v>0</v>
      </c>
      <c r="AN436" s="123">
        <f>AC436-(AH436*AI436)</f>
        <v>0</v>
      </c>
      <c r="AO436" s="12"/>
      <c r="AP436" s="36">
        <f>AP419</f>
        <v>3</v>
      </c>
      <c r="AQ436" s="138">
        <f>VLOOKUP(AQ419,'Lookup Tables'!$AB$22:$AC$31,2,FALSE)</f>
        <v>0</v>
      </c>
      <c r="AR436" s="140">
        <f>VLOOKUP(BB419,'Lookup Tables'!$AB$32:$AC$41,2,FALSE)</f>
        <v>0</v>
      </c>
      <c r="AS436" s="125">
        <f>AN436-AR436</f>
        <v>0</v>
      </c>
      <c r="AT436" s="12">
        <f>IF(AS436&gt;0,1,0)</f>
        <v>0</v>
      </c>
      <c r="AU436" s="15">
        <f>((('Rate Tables'!G89*9)*0.02778)/5)*AS436*AT436*F436*BK434</f>
        <v>0</v>
      </c>
      <c r="AV436" s="8">
        <f>AW419</f>
        <v>0</v>
      </c>
      <c r="AW436" s="18"/>
      <c r="AX436" s="8">
        <f>IF(AV436&lt;0,AV436*0,1)*AV436</f>
        <v>0</v>
      </c>
      <c r="AY436" s="123">
        <f>AN436-(AS436*AT436)</f>
        <v>0</v>
      </c>
      <c r="AZ436" s="12"/>
      <c r="BA436" s="36">
        <f>BA419</f>
        <v>3</v>
      </c>
      <c r="BB436" s="138">
        <f>VLOOKUP(BB419,'Lookup Tables'!$AB$22:$AC$31,2,FALSE)</f>
        <v>0</v>
      </c>
      <c r="BC436" s="140">
        <v>0</v>
      </c>
      <c r="BD436" s="125">
        <f>AY436-BC436</f>
        <v>0</v>
      </c>
      <c r="BE436" s="12">
        <f>IF(BD436&gt;0,1,0)</f>
        <v>0</v>
      </c>
      <c r="BF436" s="15">
        <f>((('Rate Tables'!H89*9)*0.02778)/5)*BD436*BE436*F436*BK434</f>
        <v>0</v>
      </c>
      <c r="BG436" s="8">
        <f>BH419</f>
        <v>0</v>
      </c>
      <c r="BH436" s="18"/>
      <c r="BI436" s="19"/>
      <c r="BJ436" s="12"/>
      <c r="BK436" s="227"/>
      <c r="BL436" s="349">
        <f>IF(BL435="yes",0.5,1)</f>
        <v>1</v>
      </c>
      <c r="BM436" s="12"/>
      <c r="BN436" s="275"/>
      <c r="BO436" s="12"/>
    </row>
    <row r="437" spans="1:67" x14ac:dyDescent="0.25">
      <c r="A437" s="145"/>
      <c r="B437" s="12"/>
      <c r="C437" s="819" t="s">
        <v>732</v>
      </c>
      <c r="D437" s="12"/>
      <c r="E437" s="13" t="s">
        <v>84</v>
      </c>
      <c r="F437" s="13" t="s">
        <v>42</v>
      </c>
      <c r="G437" s="13" t="s">
        <v>41</v>
      </c>
      <c r="H437" s="65" t="s">
        <v>77</v>
      </c>
      <c r="I437" s="137" t="s">
        <v>105</v>
      </c>
      <c r="J437" s="139" t="s">
        <v>106</v>
      </c>
      <c r="K437" s="127" t="s">
        <v>99</v>
      </c>
      <c r="L437" s="13" t="s">
        <v>100</v>
      </c>
      <c r="M437" s="13" t="s">
        <v>82</v>
      </c>
      <c r="N437" s="13" t="s">
        <v>32</v>
      </c>
      <c r="O437" s="14" t="s">
        <v>69</v>
      </c>
      <c r="P437" s="13" t="s">
        <v>72</v>
      </c>
      <c r="Q437" s="13" t="s">
        <v>103</v>
      </c>
      <c r="R437" s="65" t="s">
        <v>77</v>
      </c>
      <c r="S437" s="137" t="s">
        <v>105</v>
      </c>
      <c r="T437" s="139" t="s">
        <v>106</v>
      </c>
      <c r="U437" s="12" t="s">
        <v>98</v>
      </c>
      <c r="V437" s="13" t="s">
        <v>100</v>
      </c>
      <c r="W437" s="13" t="s">
        <v>33</v>
      </c>
      <c r="X437" s="13" t="s">
        <v>69</v>
      </c>
      <c r="Y437" s="13"/>
      <c r="Z437" s="13"/>
      <c r="AA437" s="18"/>
      <c r="AB437" s="13" t="s">
        <v>72</v>
      </c>
      <c r="AC437" s="13" t="s">
        <v>104</v>
      </c>
      <c r="AD437" s="13"/>
      <c r="AE437" s="65" t="s">
        <v>77</v>
      </c>
      <c r="AF437" s="137" t="s">
        <v>105</v>
      </c>
      <c r="AG437" s="139" t="s">
        <v>106</v>
      </c>
      <c r="AH437" s="12" t="s">
        <v>98</v>
      </c>
      <c r="AI437" s="13" t="s">
        <v>100</v>
      </c>
      <c r="AJ437" s="13" t="s">
        <v>34</v>
      </c>
      <c r="AK437" s="13" t="s">
        <v>69</v>
      </c>
      <c r="AL437" s="18"/>
      <c r="AM437" s="13" t="s">
        <v>72</v>
      </c>
      <c r="AN437" s="13" t="s">
        <v>104</v>
      </c>
      <c r="AO437" s="13"/>
      <c r="AP437" s="65" t="s">
        <v>77</v>
      </c>
      <c r="AQ437" s="137" t="s">
        <v>105</v>
      </c>
      <c r="AR437" s="139" t="s">
        <v>106</v>
      </c>
      <c r="AS437" s="12" t="s">
        <v>98</v>
      </c>
      <c r="AT437" s="13" t="s">
        <v>100</v>
      </c>
      <c r="AU437" s="13" t="s">
        <v>34</v>
      </c>
      <c r="AV437" s="13" t="s">
        <v>69</v>
      </c>
      <c r="AW437" s="18"/>
      <c r="AX437" s="13" t="s">
        <v>72</v>
      </c>
      <c r="AY437" s="13" t="s">
        <v>104</v>
      </c>
      <c r="AZ437" s="13"/>
      <c r="BA437" s="65" t="s">
        <v>77</v>
      </c>
      <c r="BB437" s="137" t="s">
        <v>105</v>
      </c>
      <c r="BC437" s="139" t="s">
        <v>106</v>
      </c>
      <c r="BD437" s="12" t="s">
        <v>98</v>
      </c>
      <c r="BE437" s="13" t="s">
        <v>100</v>
      </c>
      <c r="BF437" s="13" t="s">
        <v>34</v>
      </c>
      <c r="BG437" s="13" t="s">
        <v>69</v>
      </c>
      <c r="BH437" s="18"/>
      <c r="BI437" s="19"/>
      <c r="BJ437" s="12"/>
      <c r="BK437" s="227"/>
      <c r="BL437" s="349"/>
      <c r="BM437" s="12"/>
      <c r="BN437" s="275"/>
      <c r="BO437" s="12"/>
    </row>
    <row r="438" spans="1:67" x14ac:dyDescent="0.25">
      <c r="A438" s="145"/>
      <c r="B438" s="12"/>
      <c r="C438" s="115"/>
      <c r="D438" s="12"/>
      <c r="E438" s="128">
        <f>E436</f>
        <v>0</v>
      </c>
      <c r="F438" s="19">
        <f>IF($D$4=2025,1,0)</f>
        <v>0</v>
      </c>
      <c r="G438" s="178">
        <f>IF($B$461="Yes",$C$5,$I462)</f>
        <v>12</v>
      </c>
      <c r="H438" s="36">
        <f>H421</f>
        <v>3</v>
      </c>
      <c r="I438" s="138">
        <f>VLOOKUP(J421,'Lookup Tables'!$AB$22:$AC$31,2,FALSE)</f>
        <v>32</v>
      </c>
      <c r="J438" s="140">
        <f>VLOOKUP(U421,'Lookup Tables'!$AB$32:$AC$41,2,FALSE)</f>
        <v>33</v>
      </c>
      <c r="K438" s="123">
        <f>E438-J438</f>
        <v>-33</v>
      </c>
      <c r="L438" s="12">
        <f>IF(K438&gt;0,1,0)</f>
        <v>0</v>
      </c>
      <c r="M438" s="119">
        <f>M421</f>
        <v>0</v>
      </c>
      <c r="N438" s="15">
        <f>((((('Rate Tables'!E89*9)*0.02778)/5)*K438)*L438)*F438*M438*BK434</f>
        <v>0</v>
      </c>
      <c r="O438" s="28">
        <f>O421</f>
        <v>12</v>
      </c>
      <c r="P438" s="8">
        <f>IF(O438&lt;0,O438*0,1)*O438</f>
        <v>12</v>
      </c>
      <c r="Q438" s="123">
        <f>(E438-K438*F438*L438*M438)</f>
        <v>0</v>
      </c>
      <c r="R438" s="36">
        <f>S421</f>
        <v>3</v>
      </c>
      <c r="S438" s="138">
        <f>VLOOKUP(U421,'Lookup Tables'!$AB$22:$AC$31,2,FALSE)</f>
        <v>32</v>
      </c>
      <c r="T438" s="140">
        <f>VLOOKUP(AF421,'Lookup Tables'!$AB$32:$AC$41,2,FALSE)</f>
        <v>33</v>
      </c>
      <c r="U438" s="129">
        <f>Q438-T438</f>
        <v>-33</v>
      </c>
      <c r="V438" s="12">
        <f>IF(U438&gt;0,1,0)</f>
        <v>0</v>
      </c>
      <c r="W438" s="15">
        <f>((('Rate Tables'!F89*9)*0.02778)/5)*U438*F438*V438*BK434</f>
        <v>0</v>
      </c>
      <c r="X438" s="8">
        <f>AA421</f>
        <v>2</v>
      </c>
      <c r="Y438" s="12"/>
      <c r="Z438" s="119"/>
      <c r="AA438" s="18"/>
      <c r="AB438" s="8">
        <f>IF(X438&lt;0,X438*0,1)*X438</f>
        <v>2</v>
      </c>
      <c r="AC438" s="123">
        <f>Q438-(U438*V438)</f>
        <v>0</v>
      </c>
      <c r="AD438" s="12"/>
      <c r="AE438" s="36">
        <f>AE421</f>
        <v>1</v>
      </c>
      <c r="AF438" s="138">
        <f>VLOOKUP(AF421,'Lookup Tables'!$AB$22:$AC$31,2,FALSE)</f>
        <v>32</v>
      </c>
      <c r="AG438" s="140">
        <f>VLOOKUP(AQ421,'Lookup Tables'!$AB$32:$AC$41,2,FALSE)</f>
        <v>0</v>
      </c>
      <c r="AH438" s="125">
        <f>AC438-AG438</f>
        <v>0</v>
      </c>
      <c r="AI438" s="12">
        <f>IF(AH438&gt;0,1,0)</f>
        <v>0</v>
      </c>
      <c r="AJ438" s="15">
        <f>((('Rate Tables'!G89*9)*0.02778)/5)*AH438*AI438*F438*BK434</f>
        <v>0</v>
      </c>
      <c r="AK438" s="8">
        <f>AL421</f>
        <v>0</v>
      </c>
      <c r="AL438" s="18"/>
      <c r="AM438" s="8">
        <f>IF(AK438&lt;0,AK438*0,1)*AK438</f>
        <v>0</v>
      </c>
      <c r="AN438" s="123">
        <f>AC438-(AH438*AI438)</f>
        <v>0</v>
      </c>
      <c r="AO438" s="12"/>
      <c r="AP438" s="36">
        <f>AP421</f>
        <v>3</v>
      </c>
      <c r="AQ438" s="138">
        <f>VLOOKUP(AQ421,'Lookup Tables'!$AB$22:$AC$31,2,FALSE)</f>
        <v>0</v>
      </c>
      <c r="AR438" s="140">
        <f>VLOOKUP(BB421,'Lookup Tables'!$AB$32:$AC$41,2,FALSE)</f>
        <v>0</v>
      </c>
      <c r="AS438" s="125">
        <f>AN438-AR438</f>
        <v>0</v>
      </c>
      <c r="AT438" s="12">
        <f>IF(AS438&gt;0,1,0)</f>
        <v>0</v>
      </c>
      <c r="AU438" s="15">
        <f>((('Rate Tables'!H89*9)*0.02778)/5)*AS438*AT438*F438*BK434</f>
        <v>0</v>
      </c>
      <c r="AV438" s="8">
        <f>AW421</f>
        <v>0</v>
      </c>
      <c r="AW438" s="18"/>
      <c r="AX438" s="8">
        <f>IF(AV438&lt;0,AV438*0,1)*AV438</f>
        <v>0</v>
      </c>
      <c r="AY438" s="123">
        <f>AN438-(AS438*AT438)</f>
        <v>0</v>
      </c>
      <c r="AZ438" s="12"/>
      <c r="BA438" s="36">
        <f>BA421</f>
        <v>3</v>
      </c>
      <c r="BB438" s="138">
        <f>VLOOKUP(BB421,'Lookup Tables'!$AB$22:$AC$31,2,FALSE)</f>
        <v>0</v>
      </c>
      <c r="BC438" s="140">
        <v>0</v>
      </c>
      <c r="BD438" s="125">
        <f>AY438-BC438</f>
        <v>0</v>
      </c>
      <c r="BE438" s="12">
        <f>IF(BD438&gt;0,1,0)</f>
        <v>0</v>
      </c>
      <c r="BF438" s="15">
        <f>((('Rate Tables'!I89*9)*0.02778)/5)*BD438*BE438*F438*BK434</f>
        <v>0</v>
      </c>
      <c r="BG438" s="8">
        <f>BH421</f>
        <v>0</v>
      </c>
      <c r="BH438" s="18"/>
      <c r="BI438" s="19"/>
      <c r="BJ438" s="12"/>
      <c r="BK438" s="227"/>
      <c r="BL438" s="349"/>
      <c r="BM438" s="12"/>
      <c r="BN438" s="275"/>
      <c r="BO438" s="12"/>
    </row>
    <row r="439" spans="1:67" x14ac:dyDescent="0.25">
      <c r="A439" s="145"/>
      <c r="B439" s="12"/>
      <c r="C439" s="114"/>
      <c r="D439" s="12"/>
      <c r="E439" s="12"/>
      <c r="F439" s="12"/>
      <c r="G439" s="12"/>
      <c r="H439" s="12"/>
      <c r="I439" s="12" t="s">
        <v>641</v>
      </c>
      <c r="J439" s="12" t="s">
        <v>642</v>
      </c>
      <c r="K439" s="12" t="s">
        <v>164</v>
      </c>
      <c r="L439" s="13" t="s">
        <v>165</v>
      </c>
      <c r="M439" s="608" t="s">
        <v>128</v>
      </c>
      <c r="N439" s="147" t="s">
        <v>129</v>
      </c>
      <c r="O439" s="135" t="s">
        <v>130</v>
      </c>
      <c r="P439" s="12"/>
      <c r="Q439" s="12"/>
      <c r="R439" s="12"/>
      <c r="S439" s="12"/>
      <c r="T439" s="12"/>
      <c r="U439" s="12"/>
      <c r="V439" s="12" t="s">
        <v>166</v>
      </c>
      <c r="W439" s="12" t="s">
        <v>163</v>
      </c>
      <c r="X439" s="13" t="s">
        <v>165</v>
      </c>
      <c r="Y439" s="650" t="s">
        <v>128</v>
      </c>
      <c r="Z439" s="13" t="s">
        <v>129</v>
      </c>
      <c r="AA439" s="135" t="s">
        <v>130</v>
      </c>
      <c r="AB439" s="12"/>
      <c r="AC439" s="12"/>
      <c r="AD439" s="12"/>
      <c r="AE439" s="12"/>
      <c r="AF439" s="12"/>
      <c r="AG439" s="12" t="s">
        <v>166</v>
      </c>
      <c r="AH439" s="12" t="s">
        <v>163</v>
      </c>
      <c r="AI439" s="13" t="s">
        <v>165</v>
      </c>
      <c r="AJ439" s="650" t="s">
        <v>128</v>
      </c>
      <c r="AK439" s="13" t="s">
        <v>129</v>
      </c>
      <c r="AL439" s="135" t="s">
        <v>130</v>
      </c>
      <c r="AM439" s="11"/>
      <c r="AN439" s="13"/>
      <c r="AO439" s="13"/>
      <c r="AP439" s="13"/>
      <c r="AQ439" s="13"/>
      <c r="AR439" s="12" t="s">
        <v>166</v>
      </c>
      <c r="AS439" s="12" t="s">
        <v>163</v>
      </c>
      <c r="AT439" s="13" t="s">
        <v>165</v>
      </c>
      <c r="AU439" s="650" t="s">
        <v>128</v>
      </c>
      <c r="AV439" s="13" t="s">
        <v>129</v>
      </c>
      <c r="AW439" s="135" t="s">
        <v>130</v>
      </c>
      <c r="AX439" s="153"/>
      <c r="AY439" s="153"/>
      <c r="AZ439" s="153"/>
      <c r="BA439" s="153"/>
      <c r="BB439" s="153"/>
      <c r="BC439" s="12" t="s">
        <v>166</v>
      </c>
      <c r="BD439" s="12" t="s">
        <v>163</v>
      </c>
      <c r="BE439" s="13" t="s">
        <v>165</v>
      </c>
      <c r="BF439" s="650" t="s">
        <v>128</v>
      </c>
      <c r="BG439" s="13" t="s">
        <v>129</v>
      </c>
      <c r="BH439" s="135" t="s">
        <v>130</v>
      </c>
      <c r="BI439" s="13" t="s">
        <v>159</v>
      </c>
      <c r="BJ439" s="12"/>
      <c r="BK439" s="227"/>
      <c r="BL439" s="350"/>
      <c r="BM439" s="12"/>
      <c r="BN439" s="275"/>
      <c r="BO439" s="12"/>
    </row>
    <row r="440" spans="1:67" x14ac:dyDescent="0.25">
      <c r="A440" s="145"/>
      <c r="B440" s="12"/>
      <c r="C440" s="114"/>
      <c r="D440" s="12"/>
      <c r="E440" s="12"/>
      <c r="F440" s="12"/>
      <c r="G440" s="12"/>
      <c r="H440" s="12"/>
      <c r="I440" s="12">
        <f>G415</f>
        <v>12</v>
      </c>
      <c r="J440" s="125">
        <f>BK424</f>
        <v>9</v>
      </c>
      <c r="K440" s="758">
        <f>I440-J440</f>
        <v>3</v>
      </c>
      <c r="L440" s="123">
        <f>V440</f>
        <v>0</v>
      </c>
      <c r="M440" s="609">
        <f>IF(M444&lt;=0,0,ROUNDUP(M444,0))</f>
        <v>3</v>
      </c>
      <c r="N440" s="161">
        <f>'Rate Tables'!$P$17</f>
        <v>910</v>
      </c>
      <c r="O440" s="136">
        <f>(M440*N440)*F432*M432</f>
        <v>0</v>
      </c>
      <c r="P440" s="12"/>
      <c r="Q440" s="12"/>
      <c r="R440" s="12"/>
      <c r="S440" s="12"/>
      <c r="T440" s="12"/>
      <c r="U440" s="12"/>
      <c r="V440" s="12">
        <f>VLOOKUP((U432*V432),'Lookup Tables'!$E$38:$F$103,2,0)</f>
        <v>0</v>
      </c>
      <c r="W440" s="12">
        <f>K440-(M440*M432)</f>
        <v>3</v>
      </c>
      <c r="X440" s="119">
        <f>AG440</f>
        <v>0</v>
      </c>
      <c r="Y440" s="609">
        <f>IF(Y444&lt;=0,0,ROUNDUP(Y444,0))</f>
        <v>3</v>
      </c>
      <c r="Z440" s="129">
        <f>'Rate Tables'!$P$18</f>
        <v>910</v>
      </c>
      <c r="AA440" s="136">
        <f>Y440*Z440*F432*V432</f>
        <v>0</v>
      </c>
      <c r="AB440" s="12"/>
      <c r="AC440" s="12"/>
      <c r="AD440" s="12"/>
      <c r="AE440" s="12"/>
      <c r="AF440" s="12"/>
      <c r="AG440" s="12">
        <f>VLOOKUP(AH432,'Lookup Tables'!$E$38:$F$103,2,0)</f>
        <v>0</v>
      </c>
      <c r="AH440" s="125">
        <f>W440-(Y440*V432)</f>
        <v>3</v>
      </c>
      <c r="AI440" s="119">
        <f>AR440</f>
        <v>0</v>
      </c>
      <c r="AJ440" s="609">
        <f>IF(AJ444&lt;=0,0,ROUNDUP(AJ444,0))</f>
        <v>3</v>
      </c>
      <c r="AK440" s="129">
        <f>'Rate Tables'!$P$19</f>
        <v>910</v>
      </c>
      <c r="AL440" s="136">
        <f>AJ440*AK440*F432*AI432</f>
        <v>0</v>
      </c>
      <c r="AM440" s="11"/>
      <c r="AN440" s="19"/>
      <c r="AO440" s="19"/>
      <c r="AP440" s="19"/>
      <c r="AQ440" s="19"/>
      <c r="AR440" s="12">
        <f>VLOOKUP((AS432*AT432),'Lookup Tables'!$E$38:$F$103,2,0)</f>
        <v>0</v>
      </c>
      <c r="AS440" s="125">
        <f>AH440-(AJ440*AI432)</f>
        <v>3</v>
      </c>
      <c r="AT440" s="119">
        <f>BC440</f>
        <v>0</v>
      </c>
      <c r="AU440" s="609">
        <f>IF(AU444&lt;=0,0,ROUNDUP(AU444,0))</f>
        <v>3</v>
      </c>
      <c r="AV440" s="129">
        <f>'Rate Tables'!$P$20</f>
        <v>928.2</v>
      </c>
      <c r="AW440" s="136">
        <f>AU440*AV440*F432*AT432</f>
        <v>0</v>
      </c>
      <c r="AX440" s="125"/>
      <c r="AY440" s="125"/>
      <c r="AZ440" s="125"/>
      <c r="BA440" s="125"/>
      <c r="BB440" s="125"/>
      <c r="BC440" s="12">
        <f>VLOOKUP((BD432*BE432),'Lookup Tables'!$E$38:$F$103,2,0)</f>
        <v>0</v>
      </c>
      <c r="BD440" s="125">
        <f>AS440-(AU440*AT432)</f>
        <v>3</v>
      </c>
      <c r="BE440" s="119">
        <v>0</v>
      </c>
      <c r="BF440" s="609">
        <f>IF(BF444&lt;=0,0,ROUNDUP(BF444,0))</f>
        <v>3</v>
      </c>
      <c r="BG440" s="129">
        <f>'Rate Tables'!$P$21</f>
        <v>946.76</v>
      </c>
      <c r="BH440" s="136">
        <f>BF440*BG440*F432*BE432</f>
        <v>0</v>
      </c>
      <c r="BI440" s="19">
        <f>VLOOKUP(B411,'Lookup Tables'!$AK$22:$AM$24,2,0)</f>
        <v>0</v>
      </c>
      <c r="BJ440" s="12"/>
      <c r="BK440" s="307"/>
      <c r="BL440" s="358"/>
      <c r="BM440" s="12"/>
      <c r="BN440" s="287"/>
      <c r="BO440" s="125"/>
    </row>
    <row r="441" spans="1:67" x14ac:dyDescent="0.25">
      <c r="A441" s="145"/>
      <c r="B441" s="12"/>
      <c r="C441" s="114"/>
      <c r="D441" s="12"/>
      <c r="E441" s="12"/>
      <c r="F441" s="12"/>
      <c r="G441" s="12"/>
      <c r="H441" s="12"/>
      <c r="I441" s="12">
        <f>G417</f>
        <v>12</v>
      </c>
      <c r="J441" s="125">
        <f>J440</f>
        <v>9</v>
      </c>
      <c r="K441" s="758">
        <f>I441-J441</f>
        <v>3</v>
      </c>
      <c r="L441" s="123">
        <f>V441</f>
        <v>0</v>
      </c>
      <c r="M441" s="609">
        <f>IF(M445&lt;=0,0,ROUNDUP(M445,0))</f>
        <v>3</v>
      </c>
      <c r="N441" s="161">
        <f>'Rate Tables'!$P$18</f>
        <v>910</v>
      </c>
      <c r="O441" s="136">
        <f>(M441*N441)*F434*M434</f>
        <v>0</v>
      </c>
      <c r="P441" s="12"/>
      <c r="Q441" s="12"/>
      <c r="R441" s="12"/>
      <c r="S441" s="12"/>
      <c r="T441" s="12"/>
      <c r="U441" s="12"/>
      <c r="V441" s="12">
        <f>VLOOKUP((U434*V434),'Lookup Tables'!$E$38:$F$103,2,0)</f>
        <v>0</v>
      </c>
      <c r="W441" s="12">
        <f>K441-(M441*M434)</f>
        <v>3</v>
      </c>
      <c r="X441" s="119">
        <f>AG441</f>
        <v>0</v>
      </c>
      <c r="Y441" s="609">
        <f>IF(Y445&lt;=0,0,ROUNDUP(Y445,0))</f>
        <v>3</v>
      </c>
      <c r="Z441" s="129">
        <f>'Rate Tables'!$P$19</f>
        <v>910</v>
      </c>
      <c r="AA441" s="136">
        <f>Y441*Z441*F434*V434</f>
        <v>0</v>
      </c>
      <c r="AB441" s="12"/>
      <c r="AC441" s="12"/>
      <c r="AD441" s="12"/>
      <c r="AE441" s="12"/>
      <c r="AF441" s="12"/>
      <c r="AG441" s="12">
        <f>VLOOKUP(AH434,'Lookup Tables'!$E$38:$F$103,2,0)</f>
        <v>0</v>
      </c>
      <c r="AH441" s="125">
        <f>W441-(Y441*V434)</f>
        <v>3</v>
      </c>
      <c r="AI441" s="119">
        <f>AR441</f>
        <v>0</v>
      </c>
      <c r="AJ441" s="609">
        <f>IF(AJ445&lt;=0,0,ROUNDUP(AJ445,0))</f>
        <v>3</v>
      </c>
      <c r="AK441" s="129">
        <f>'Rate Tables'!$P$20</f>
        <v>928.2</v>
      </c>
      <c r="AL441" s="136">
        <f>AJ441*AK441*F434*AI434</f>
        <v>0</v>
      </c>
      <c r="AM441" s="11"/>
      <c r="AN441" s="19"/>
      <c r="AO441" s="19"/>
      <c r="AP441" s="19"/>
      <c r="AQ441" s="19"/>
      <c r="AR441" s="12">
        <f>VLOOKUP((AS434*AT434),'Lookup Tables'!$E$38:$F$103,2,0)</f>
        <v>0</v>
      </c>
      <c r="AS441" s="125">
        <f>AH441-(AJ441*AI434)</f>
        <v>3</v>
      </c>
      <c r="AT441" s="119">
        <f>BC441</f>
        <v>0</v>
      </c>
      <c r="AU441" s="609">
        <f>IF(AU445&lt;=0,0,ROUNDUP(AU445,0))</f>
        <v>3</v>
      </c>
      <c r="AV441" s="129">
        <f>'Rate Tables'!$P$21</f>
        <v>946.76</v>
      </c>
      <c r="AW441" s="737">
        <f>AU441*AV441*F434*AT434</f>
        <v>0</v>
      </c>
      <c r="AX441" s="15"/>
      <c r="AY441" s="15"/>
      <c r="AZ441" s="15"/>
      <c r="BA441" s="15"/>
      <c r="BB441" s="15"/>
      <c r="BC441" s="12">
        <f>VLOOKUP((BD434*BE434),'Lookup Tables'!$E$38:$F$103,2,0)</f>
        <v>0</v>
      </c>
      <c r="BD441" s="125">
        <f>AS441-(AU441*AT434)</f>
        <v>3</v>
      </c>
      <c r="BE441" s="119">
        <v>0</v>
      </c>
      <c r="BF441" s="609">
        <f>IF(BF445&lt;=0,0,ROUNDUP(BF445,0))</f>
        <v>3</v>
      </c>
      <c r="BG441" s="129">
        <f>'Rate Tables'!$P$22</f>
        <v>965.7</v>
      </c>
      <c r="BH441" s="737">
        <f>BF441*BG441*F434*BE434</f>
        <v>0</v>
      </c>
      <c r="BI441" s="19"/>
      <c r="BJ441" s="12"/>
      <c r="BK441" s="307"/>
      <c r="BL441" s="349"/>
      <c r="BM441" s="12"/>
      <c r="BN441" s="275"/>
      <c r="BO441" s="12"/>
    </row>
    <row r="442" spans="1:67" x14ac:dyDescent="0.25">
      <c r="A442" s="145"/>
      <c r="B442" s="12"/>
      <c r="C442" s="114"/>
      <c r="D442" s="12"/>
      <c r="E442" s="12"/>
      <c r="F442" s="12"/>
      <c r="G442" s="12"/>
      <c r="H442" s="12"/>
      <c r="I442" s="12">
        <f>G419</f>
        <v>12</v>
      </c>
      <c r="J442" s="125">
        <f>J441</f>
        <v>9</v>
      </c>
      <c r="K442" s="758">
        <f>I442-J442</f>
        <v>3</v>
      </c>
      <c r="L442" s="123">
        <f>V442</f>
        <v>0</v>
      </c>
      <c r="M442" s="609">
        <f>IF(M446&lt;=0,0,ROUNDUP(M446,0))</f>
        <v>3</v>
      </c>
      <c r="N442" s="161">
        <f>'Rate Tables'!$P$19</f>
        <v>910</v>
      </c>
      <c r="O442" s="136">
        <f>(M442*N442)*F436*M436</f>
        <v>0</v>
      </c>
      <c r="P442" s="12"/>
      <c r="Q442" s="12"/>
      <c r="R442" s="12"/>
      <c r="S442" s="12"/>
      <c r="T442" s="12"/>
      <c r="U442" s="12"/>
      <c r="V442" s="12">
        <f>VLOOKUP((U436*V436),'Lookup Tables'!$E$38:$F$103,2,0)</f>
        <v>0</v>
      </c>
      <c r="W442" s="12">
        <f>K442-(M442*M436)</f>
        <v>3</v>
      </c>
      <c r="X442" s="119">
        <f>AG442</f>
        <v>0</v>
      </c>
      <c r="Y442" s="609">
        <f>IF(Y446&lt;=0,0,ROUNDUP(Y446,0))</f>
        <v>3</v>
      </c>
      <c r="Z442" s="129">
        <f>'Rate Tables'!$P$20</f>
        <v>928.2</v>
      </c>
      <c r="AA442" s="136">
        <f>Y442*Z442*F436*V436</f>
        <v>0</v>
      </c>
      <c r="AB442" s="12"/>
      <c r="AC442" s="12"/>
      <c r="AD442" s="12"/>
      <c r="AE442" s="12"/>
      <c r="AF442" s="12"/>
      <c r="AG442" s="12">
        <f>VLOOKUP(AH436,'Lookup Tables'!$E$38:$F$103,2,0)</f>
        <v>0</v>
      </c>
      <c r="AH442" s="125">
        <f>W442-(Y442*V436)</f>
        <v>3</v>
      </c>
      <c r="AI442" s="119">
        <f>AR442</f>
        <v>0</v>
      </c>
      <c r="AJ442" s="609">
        <f>IF(AJ446&lt;=0,0,ROUNDUP(AJ446,0))</f>
        <v>3</v>
      </c>
      <c r="AK442" s="129">
        <f>'Rate Tables'!$P$21</f>
        <v>946.76</v>
      </c>
      <c r="AL442" s="736">
        <f>AJ442*AK442*F436*AI436</f>
        <v>0</v>
      </c>
      <c r="AM442" s="11"/>
      <c r="AN442" s="19"/>
      <c r="AO442" s="19"/>
      <c r="AP442" s="19"/>
      <c r="AQ442" s="19"/>
      <c r="AR442" s="12">
        <f>VLOOKUP((AS436*AT436),'Lookup Tables'!$E$38:$F$103,2,0)</f>
        <v>0</v>
      </c>
      <c r="AS442" s="123">
        <f>AH442-(AJ442*AI436)</f>
        <v>3</v>
      </c>
      <c r="AT442" s="119">
        <f>BC442</f>
        <v>0</v>
      </c>
      <c r="AU442" s="609">
        <f>IF(AU446&lt;=0,0,ROUNDUP(AU446,0))</f>
        <v>3</v>
      </c>
      <c r="AV442" s="129">
        <f>'Rate Tables'!$P$22</f>
        <v>965.7</v>
      </c>
      <c r="AW442" s="136">
        <f>AU442*AV442*F436*AT436</f>
        <v>0</v>
      </c>
      <c r="AX442" s="125"/>
      <c r="AY442" s="125"/>
      <c r="AZ442" s="125"/>
      <c r="BA442" s="125"/>
      <c r="BB442" s="125"/>
      <c r="BC442" s="12">
        <f>VLOOKUP((BD436*BE436),'Lookup Tables'!$E$38:$F$103,2,0)</f>
        <v>0</v>
      </c>
      <c r="BD442" s="123">
        <f>AS442-(AU442*AT436)</f>
        <v>3</v>
      </c>
      <c r="BE442" s="119">
        <v>0</v>
      </c>
      <c r="BF442" s="609">
        <f>IF(BF446&lt;=0,0,ROUNDUP(BF446,0))</f>
        <v>3</v>
      </c>
      <c r="BG442" s="129">
        <f>'Rate Tables'!$P$23</f>
        <v>985.01</v>
      </c>
      <c r="BH442" s="136">
        <f>BF442*BG442*F436*BE436</f>
        <v>0</v>
      </c>
      <c r="BI442" s="19"/>
      <c r="BJ442" s="12"/>
      <c r="BK442" s="307"/>
      <c r="BL442" s="349"/>
      <c r="BM442" s="12"/>
      <c r="BN442" s="275"/>
      <c r="BO442" s="12"/>
    </row>
    <row r="443" spans="1:67" x14ac:dyDescent="0.25">
      <c r="A443" s="145"/>
      <c r="B443" s="12"/>
      <c r="C443" s="114"/>
      <c r="D443" s="12"/>
      <c r="E443" s="12"/>
      <c r="F443" s="12"/>
      <c r="G443" s="12"/>
      <c r="H443" s="12"/>
      <c r="I443" s="12">
        <f>G421</f>
        <v>12</v>
      </c>
      <c r="J443" s="125">
        <f>J442</f>
        <v>9</v>
      </c>
      <c r="K443" s="758">
        <f>I443-J443</f>
        <v>3</v>
      </c>
      <c r="L443" s="123">
        <f>V443</f>
        <v>0</v>
      </c>
      <c r="M443" s="609">
        <f>IF(M447&lt;=0,0,ROUNDUP(M447,0))</f>
        <v>3</v>
      </c>
      <c r="N443" s="161">
        <f>'Rate Tables'!$P$20</f>
        <v>928.2</v>
      </c>
      <c r="O443" s="136">
        <f>(M443*N443)*F438*M438</f>
        <v>0</v>
      </c>
      <c r="P443" s="12"/>
      <c r="Q443" s="12"/>
      <c r="R443" s="12"/>
      <c r="S443" s="12"/>
      <c r="T443" s="12"/>
      <c r="U443" s="12"/>
      <c r="V443" s="12">
        <f>VLOOKUP((U438*V438),'Lookup Tables'!$E$38:$F$103,2,0)</f>
        <v>0</v>
      </c>
      <c r="W443" s="12">
        <f>K443-(M443*M438)</f>
        <v>3</v>
      </c>
      <c r="X443" s="119">
        <f>AG443</f>
        <v>0</v>
      </c>
      <c r="Y443" s="609">
        <f>IF(Y447&lt;=0,0,ROUNDUP(Y447,0))</f>
        <v>3</v>
      </c>
      <c r="Z443" s="129">
        <f>'Rate Tables'!$P$21</f>
        <v>946.76</v>
      </c>
      <c r="AA443" s="136">
        <f>Y443*Z443*F438*V438</f>
        <v>0</v>
      </c>
      <c r="AB443" s="12"/>
      <c r="AC443" s="12"/>
      <c r="AD443" s="12"/>
      <c r="AE443" s="12"/>
      <c r="AF443" s="12"/>
      <c r="AG443" s="12">
        <f>VLOOKUP(AH438,'Lookup Tables'!$E$38:$F$103,2,0)</f>
        <v>0</v>
      </c>
      <c r="AH443" s="125">
        <f>W443-(Y443*V438)</f>
        <v>3</v>
      </c>
      <c r="AI443" s="119">
        <f>AR443</f>
        <v>0</v>
      </c>
      <c r="AJ443" s="609">
        <f>IF(AJ447&lt;=0,0,ROUNDUP(AJ447,0))</f>
        <v>3</v>
      </c>
      <c r="AK443" s="129">
        <f>'Rate Tables'!$P$22</f>
        <v>965.7</v>
      </c>
      <c r="AL443" s="736">
        <f>AJ443*AK443*F438*AI438</f>
        <v>0</v>
      </c>
      <c r="AM443" s="11"/>
      <c r="AN443" s="19"/>
      <c r="AO443" s="19"/>
      <c r="AP443" s="19"/>
      <c r="AQ443" s="19"/>
      <c r="AR443" s="12">
        <f>VLOOKUP((AS438*AT438),'Lookup Tables'!$E$38:$F$103,2,0)</f>
        <v>0</v>
      </c>
      <c r="AS443" s="123">
        <f>AH443-(AJ443*AI438)</f>
        <v>3</v>
      </c>
      <c r="AT443" s="119">
        <f>BC443</f>
        <v>0</v>
      </c>
      <c r="AU443" s="609">
        <f>IF(AU447&lt;=0,0,ROUNDUP(AU447,0))</f>
        <v>3</v>
      </c>
      <c r="AV443" s="129">
        <f>'Rate Tables'!$P$23</f>
        <v>985.01</v>
      </c>
      <c r="AW443" s="136">
        <f>AU443*AV443*F438*AT438</f>
        <v>0</v>
      </c>
      <c r="AX443" s="125"/>
      <c r="AY443" s="125"/>
      <c r="AZ443" s="125"/>
      <c r="BA443" s="125"/>
      <c r="BB443" s="125"/>
      <c r="BC443" s="12">
        <f>VLOOKUP((BD438*BE438),'Lookup Tables'!$E$38:$F$103,2,0)</f>
        <v>0</v>
      </c>
      <c r="BD443" s="123">
        <f>AS443-(AU443*AT438)</f>
        <v>3</v>
      </c>
      <c r="BE443" s="119">
        <v>0</v>
      </c>
      <c r="BF443" s="609">
        <f>IF(BF447&lt;=0,0,ROUNDUP(BF447,0))</f>
        <v>3</v>
      </c>
      <c r="BG443" s="129">
        <f>'Rate Tables'!$P$24</f>
        <v>1004.71</v>
      </c>
      <c r="BH443" s="136">
        <f>BF443*BG443*F438*BE438</f>
        <v>0</v>
      </c>
      <c r="BI443" s="19"/>
      <c r="BJ443" s="12"/>
      <c r="BK443" s="307"/>
      <c r="BL443" s="349"/>
      <c r="BM443" s="12"/>
      <c r="BN443" s="275"/>
      <c r="BO443" s="12"/>
    </row>
    <row r="444" spans="1:67" x14ac:dyDescent="0.25">
      <c r="A444" s="145"/>
      <c r="B444" s="12"/>
      <c r="C444" s="114"/>
      <c r="D444" s="12"/>
      <c r="E444" s="12"/>
      <c r="F444" s="12"/>
      <c r="G444" s="12"/>
      <c r="H444" s="12"/>
      <c r="I444" s="12"/>
      <c r="J444" s="125"/>
      <c r="K444" s="125"/>
      <c r="L444" s="123"/>
      <c r="M444" s="648">
        <f>K440-L440</f>
        <v>3</v>
      </c>
      <c r="N444" s="129"/>
      <c r="O444" s="125"/>
      <c r="P444" s="12"/>
      <c r="Q444" s="12"/>
      <c r="R444" s="12"/>
      <c r="S444" s="12"/>
      <c r="T444" s="12"/>
      <c r="U444" s="12"/>
      <c r="V444" s="12"/>
      <c r="W444" s="12"/>
      <c r="X444" s="119"/>
      <c r="Y444" s="651">
        <f>W440-X440</f>
        <v>3</v>
      </c>
      <c r="Z444" s="129"/>
      <c r="AA444" s="125"/>
      <c r="AB444" s="12"/>
      <c r="AC444" s="12"/>
      <c r="AD444" s="12"/>
      <c r="AE444" s="12"/>
      <c r="AF444" s="12"/>
      <c r="AG444" s="12"/>
      <c r="AH444" s="125"/>
      <c r="AI444" s="119"/>
      <c r="AJ444" s="651">
        <f>AH440-AI440</f>
        <v>3</v>
      </c>
      <c r="AK444" s="129"/>
      <c r="AL444" s="834"/>
      <c r="AM444" s="11"/>
      <c r="AN444" s="19"/>
      <c r="AO444" s="19"/>
      <c r="AP444" s="19"/>
      <c r="AQ444" s="19"/>
      <c r="AR444" s="12"/>
      <c r="AS444" s="123"/>
      <c r="AT444" s="119"/>
      <c r="AU444" s="651">
        <f>AS440-AT440</f>
        <v>3</v>
      </c>
      <c r="AV444" s="129"/>
      <c r="AW444" s="125"/>
      <c r="AX444" s="125"/>
      <c r="AY444" s="125"/>
      <c r="AZ444" s="125"/>
      <c r="BA444" s="125"/>
      <c r="BB444" s="125"/>
      <c r="BC444" s="12"/>
      <c r="BD444" s="123"/>
      <c r="BE444" s="119"/>
      <c r="BF444" s="651">
        <f>BD440-BE440</f>
        <v>3</v>
      </c>
      <c r="BG444" s="129"/>
      <c r="BH444" s="125"/>
      <c r="BI444" s="19"/>
      <c r="BJ444" s="12"/>
      <c r="BK444" s="307"/>
      <c r="BL444" s="349"/>
      <c r="BM444" s="12"/>
      <c r="BN444" s="275"/>
      <c r="BO444" s="12"/>
    </row>
    <row r="445" spans="1:67" x14ac:dyDescent="0.25">
      <c r="A445" s="145"/>
      <c r="B445" s="12"/>
      <c r="C445" s="114"/>
      <c r="D445" s="12"/>
      <c r="E445" s="12"/>
      <c r="F445" s="12"/>
      <c r="G445" s="12"/>
      <c r="H445" s="12"/>
      <c r="I445" s="12"/>
      <c r="J445" s="12"/>
      <c r="K445" s="12"/>
      <c r="L445" s="123"/>
      <c r="M445" s="648">
        <f>K441-L441</f>
        <v>3</v>
      </c>
      <c r="N445" s="129"/>
      <c r="O445" s="125"/>
      <c r="P445" s="12"/>
      <c r="Q445" s="12"/>
      <c r="R445" s="12"/>
      <c r="S445" s="12"/>
      <c r="T445" s="12"/>
      <c r="U445" s="12"/>
      <c r="V445" s="12"/>
      <c r="W445" s="12"/>
      <c r="X445" s="119"/>
      <c r="Y445" s="651">
        <f>W441-X441</f>
        <v>3</v>
      </c>
      <c r="Z445" s="129"/>
      <c r="AA445" s="125"/>
      <c r="AB445" s="12"/>
      <c r="AC445" s="12"/>
      <c r="AD445" s="12"/>
      <c r="AE445" s="12"/>
      <c r="AF445" s="12"/>
      <c r="AG445" s="12"/>
      <c r="AH445" s="125"/>
      <c r="AI445" s="119"/>
      <c r="AJ445" s="651">
        <f>AH441-AI441</f>
        <v>3</v>
      </c>
      <c r="AK445" s="129"/>
      <c r="AL445" s="125"/>
      <c r="AM445" s="11"/>
      <c r="AN445" s="19"/>
      <c r="AO445" s="19"/>
      <c r="AP445" s="19"/>
      <c r="AQ445" s="19"/>
      <c r="AR445" s="12"/>
      <c r="AS445" s="123"/>
      <c r="AT445" s="119"/>
      <c r="AU445" s="651">
        <f>AS441-AT441</f>
        <v>3</v>
      </c>
      <c r="AV445" s="129"/>
      <c r="AW445" s="125"/>
      <c r="AX445" s="125"/>
      <c r="AY445" s="125"/>
      <c r="AZ445" s="125"/>
      <c r="BA445" s="125"/>
      <c r="BB445" s="125"/>
      <c r="BC445" s="12"/>
      <c r="BD445" s="123"/>
      <c r="BE445" s="119"/>
      <c r="BF445" s="651">
        <f>BD441-BE441</f>
        <v>3</v>
      </c>
      <c r="BG445" s="129"/>
      <c r="BH445" s="125"/>
      <c r="BI445" s="19"/>
      <c r="BJ445" s="12"/>
      <c r="BK445" s="307"/>
      <c r="BL445" s="349"/>
      <c r="BM445" s="12"/>
      <c r="BN445" s="275"/>
      <c r="BO445" s="12"/>
    </row>
    <row r="446" spans="1:67" ht="15.75" thickBot="1" x14ac:dyDescent="0.3">
      <c r="A446" s="145"/>
      <c r="B446" s="12"/>
      <c r="C446" s="114"/>
      <c r="D446" s="12"/>
      <c r="E446" s="12"/>
      <c r="F446" s="12"/>
      <c r="G446" s="12" t="s">
        <v>584</v>
      </c>
      <c r="H446" s="12"/>
      <c r="I446" s="12"/>
      <c r="J446" s="12"/>
      <c r="K446" s="12"/>
      <c r="L446" s="123"/>
      <c r="M446" s="648">
        <f>K442-L442</f>
        <v>3</v>
      </c>
      <c r="N446" s="129"/>
      <c r="O446" s="125"/>
      <c r="P446" s="12"/>
      <c r="Q446" s="12"/>
      <c r="R446" s="12"/>
      <c r="S446" s="12"/>
      <c r="T446" s="12"/>
      <c r="U446" s="12"/>
      <c r="V446" s="12"/>
      <c r="W446" s="12"/>
      <c r="X446" s="119"/>
      <c r="Y446" s="651">
        <f>W442-X442</f>
        <v>3</v>
      </c>
      <c r="Z446" s="129"/>
      <c r="AA446" s="125"/>
      <c r="AB446" s="12"/>
      <c r="AC446" s="12"/>
      <c r="AD446" s="12"/>
      <c r="AE446" s="12"/>
      <c r="AF446" s="12"/>
      <c r="AG446" s="12"/>
      <c r="AH446" s="125"/>
      <c r="AI446" s="119"/>
      <c r="AJ446" s="651">
        <f>AH442-AI442</f>
        <v>3</v>
      </c>
      <c r="AK446" s="129"/>
      <c r="AL446" s="125"/>
      <c r="AM446" s="11"/>
      <c r="AN446" s="19"/>
      <c r="AO446" s="19"/>
      <c r="AP446" s="19"/>
      <c r="AQ446" s="19"/>
      <c r="AR446" s="12"/>
      <c r="AS446" s="123"/>
      <c r="AT446" s="119"/>
      <c r="AU446" s="651">
        <f>AS442-AT442</f>
        <v>3</v>
      </c>
      <c r="AV446" s="129"/>
      <c r="AW446" s="125"/>
      <c r="AX446" s="125"/>
      <c r="AY446" s="125"/>
      <c r="AZ446" s="125"/>
      <c r="BA446" s="125"/>
      <c r="BB446" s="125"/>
      <c r="BC446" s="12"/>
      <c r="BD446" s="123"/>
      <c r="BE446" s="119"/>
      <c r="BF446" s="651">
        <f>BD442-BE442</f>
        <v>3</v>
      </c>
      <c r="BG446" s="129"/>
      <c r="BH446" s="125"/>
      <c r="BI446" s="829"/>
      <c r="BJ446" s="149"/>
      <c r="BK446" s="830"/>
      <c r="BL446" s="831"/>
      <c r="BM446" s="149"/>
      <c r="BN446" s="281"/>
      <c r="BO446" s="12"/>
    </row>
    <row r="447" spans="1:67" x14ac:dyDescent="0.25">
      <c r="A447" s="145"/>
      <c r="B447" s="162"/>
      <c r="C447" s="115">
        <f>(B413*12)*2</f>
        <v>0</v>
      </c>
      <c r="D447" s="115"/>
      <c r="E447" s="126"/>
      <c r="F447" s="126"/>
      <c r="G447" s="12"/>
      <c r="H447" s="12"/>
      <c r="I447" s="12"/>
      <c r="J447" s="12"/>
      <c r="K447" s="12"/>
      <c r="L447" s="12"/>
      <c r="M447" s="648">
        <f>K443-L443</f>
        <v>3</v>
      </c>
      <c r="N447" s="12"/>
      <c r="O447" s="12"/>
      <c r="P447" s="12"/>
      <c r="Q447" s="12"/>
      <c r="R447" s="12"/>
      <c r="S447" s="12"/>
      <c r="T447" s="12"/>
      <c r="U447" s="12"/>
      <c r="V447" s="12"/>
      <c r="W447" s="12"/>
      <c r="X447" s="12"/>
      <c r="Y447" s="652">
        <f>W443-X443</f>
        <v>3</v>
      </c>
      <c r="Z447" s="12"/>
      <c r="AA447" s="12"/>
      <c r="AB447" s="12"/>
      <c r="AC447" s="12"/>
      <c r="AD447" s="12"/>
      <c r="AE447" s="12"/>
      <c r="AF447" s="12"/>
      <c r="AG447" s="12"/>
      <c r="AH447" s="12"/>
      <c r="AI447" s="12"/>
      <c r="AJ447" s="652">
        <f>AH443-AI443</f>
        <v>3</v>
      </c>
      <c r="AK447" s="12"/>
      <c r="AL447" s="12"/>
      <c r="AM447" s="11"/>
      <c r="AN447" s="19"/>
      <c r="AO447" s="19"/>
      <c r="AP447" s="19"/>
      <c r="AQ447" s="19"/>
      <c r="AR447" s="12"/>
      <c r="AS447" s="125"/>
      <c r="AT447" s="119"/>
      <c r="AU447" s="652">
        <f>AS443-AT443</f>
        <v>3</v>
      </c>
      <c r="AV447" s="129"/>
      <c r="AW447" s="125"/>
      <c r="AX447" s="125"/>
      <c r="AY447" s="125"/>
      <c r="AZ447" s="125"/>
      <c r="BA447" s="125"/>
      <c r="BB447" s="125"/>
      <c r="BC447" s="12"/>
      <c r="BD447" s="125"/>
      <c r="BE447" s="119"/>
      <c r="BF447" s="652">
        <f>BD443-BE443</f>
        <v>3</v>
      </c>
      <c r="BG447" s="129"/>
      <c r="BH447" s="125"/>
      <c r="BI447" s="12"/>
      <c r="BJ447" s="12"/>
      <c r="BK447" s="306" t="s">
        <v>413</v>
      </c>
      <c r="BL447" s="828">
        <f>Personnel!W98</f>
        <v>0</v>
      </c>
      <c r="BM447" s="276" t="s">
        <v>416</v>
      </c>
      <c r="BN447" s="285">
        <f>(M449+M451+M453+M455+W449+W451+W453+W455+AI449+AI451+AI453+AI455+AT449+AT451+AT453+AT455+BE449+BE451+BE453+BE455)*BI449</f>
        <v>0</v>
      </c>
      <c r="BO447" s="15"/>
    </row>
    <row r="448" spans="1:67" x14ac:dyDescent="0.25">
      <c r="A448" s="145"/>
      <c r="B448" s="12"/>
      <c r="C448" s="117" t="s">
        <v>30</v>
      </c>
      <c r="D448" s="117"/>
      <c r="E448" s="13"/>
      <c r="F448" s="13" t="s">
        <v>42</v>
      </c>
      <c r="G448" s="13" t="s">
        <v>41</v>
      </c>
      <c r="H448" s="65" t="s">
        <v>77</v>
      </c>
      <c r="I448" s="150" t="s">
        <v>50</v>
      </c>
      <c r="J448" s="13" t="s">
        <v>52</v>
      </c>
      <c r="K448" s="13" t="s">
        <v>35</v>
      </c>
      <c r="L448" s="13" t="s">
        <v>82</v>
      </c>
      <c r="M448" s="13" t="s">
        <v>31</v>
      </c>
      <c r="N448" s="13" t="s">
        <v>69</v>
      </c>
      <c r="O448" s="12"/>
      <c r="P448" s="13" t="s">
        <v>72</v>
      </c>
      <c r="Q448" s="65" t="s">
        <v>80</v>
      </c>
      <c r="R448" s="62" t="s">
        <v>81</v>
      </c>
      <c r="S448" s="65" t="s">
        <v>77</v>
      </c>
      <c r="T448" s="674" t="s">
        <v>107</v>
      </c>
      <c r="U448" s="13" t="s">
        <v>53</v>
      </c>
      <c r="V448" s="13" t="s">
        <v>82</v>
      </c>
      <c r="W448" s="13" t="s">
        <v>32</v>
      </c>
      <c r="X448" s="13" t="s">
        <v>69</v>
      </c>
      <c r="Y448" s="12"/>
      <c r="Z448" s="12"/>
      <c r="AA448" s="12"/>
      <c r="AB448" s="13" t="s">
        <v>72</v>
      </c>
      <c r="AC448" s="13" t="s">
        <v>80</v>
      </c>
      <c r="AD448" s="62" t="s">
        <v>81</v>
      </c>
      <c r="AE448" s="65" t="s">
        <v>77</v>
      </c>
      <c r="AF448" s="151" t="s">
        <v>107</v>
      </c>
      <c r="AG448" s="13" t="s">
        <v>78</v>
      </c>
      <c r="AH448" s="13" t="s">
        <v>82</v>
      </c>
      <c r="AI448" s="13" t="s">
        <v>33</v>
      </c>
      <c r="AJ448" s="13" t="s">
        <v>69</v>
      </c>
      <c r="AK448" s="12"/>
      <c r="AL448" s="12"/>
      <c r="AM448" s="13" t="s">
        <v>72</v>
      </c>
      <c r="AN448" s="13" t="s">
        <v>80</v>
      </c>
      <c r="AO448" s="62" t="s">
        <v>81</v>
      </c>
      <c r="AP448" s="65" t="s">
        <v>77</v>
      </c>
      <c r="AQ448" s="151" t="s">
        <v>107</v>
      </c>
      <c r="AR448" s="13" t="s">
        <v>78</v>
      </c>
      <c r="AS448" s="13" t="s">
        <v>82</v>
      </c>
      <c r="AT448" s="13" t="s">
        <v>33</v>
      </c>
      <c r="AU448" s="13" t="s">
        <v>69</v>
      </c>
      <c r="AV448" s="13"/>
      <c r="AW448" s="13"/>
      <c r="AX448" s="13" t="s">
        <v>72</v>
      </c>
      <c r="AY448" s="13" t="s">
        <v>80</v>
      </c>
      <c r="AZ448" s="62" t="s">
        <v>81</v>
      </c>
      <c r="BA448" s="65" t="s">
        <v>77</v>
      </c>
      <c r="BB448" s="151" t="s">
        <v>107</v>
      </c>
      <c r="BC448" s="13" t="s">
        <v>78</v>
      </c>
      <c r="BD448" s="13" t="s">
        <v>82</v>
      </c>
      <c r="BE448" s="13" t="s">
        <v>33</v>
      </c>
      <c r="BF448" s="13" t="s">
        <v>69</v>
      </c>
      <c r="BG448" s="13"/>
      <c r="BH448" s="13"/>
      <c r="BI448" s="13" t="s">
        <v>159</v>
      </c>
      <c r="BJ448" s="12"/>
      <c r="BK448" s="227"/>
      <c r="BL448" s="12"/>
      <c r="BM448" s="12"/>
      <c r="BN448" s="275"/>
      <c r="BO448" s="12"/>
    </row>
    <row r="449" spans="1:67" x14ac:dyDescent="0.25">
      <c r="A449" s="145"/>
      <c r="B449" s="12"/>
      <c r="C449" s="115"/>
      <c r="D449" s="115"/>
      <c r="E449" s="152">
        <f>BL447</f>
        <v>0</v>
      </c>
      <c r="F449" s="19">
        <f>IF($D$4=2022,1,0)</f>
        <v>0</v>
      </c>
      <c r="G449" s="178">
        <f>IF($B$461="Yes",$C$5,$I460)</f>
        <v>12</v>
      </c>
      <c r="H449" s="36">
        <f>VLOOKUP(H459,'Lookup Tables'!$A$22:$B$33,2,FALSE)</f>
        <v>3</v>
      </c>
      <c r="I449" s="192">
        <f>VLOOKUP($E$4,'Lookup Tables'!$AB$46:$AN$58,MATCH($H449,'Lookup Tables'!$AB$46:$AN$46),FALSE)</f>
        <v>12</v>
      </c>
      <c r="J449" s="19">
        <f>12-I449</f>
        <v>0</v>
      </c>
      <c r="K449" s="19">
        <f>IF(G449&lt;J449,G449,J449)</f>
        <v>0</v>
      </c>
      <c r="L449" s="195">
        <f>IF(12-I449&gt;=1,1,0)</f>
        <v>0</v>
      </c>
      <c r="M449" s="839">
        <f>((('Rate Tables'!$B114*$E449)*PersonCalcYr3!$K449)*L449)*$F449</f>
        <v>0</v>
      </c>
      <c r="N449" s="8">
        <f>G449-(J449*L449)</f>
        <v>12</v>
      </c>
      <c r="O449" s="12"/>
      <c r="P449" s="8">
        <f>IF(N449&lt;0,N449*0,1)*N449</f>
        <v>12</v>
      </c>
      <c r="Q449" s="120">
        <f>VLOOKUP($H459,'Lookup Tables'!$A$22:$B$33,2,FALSE)+(K449*L449)</f>
        <v>3</v>
      </c>
      <c r="R449" s="121" t="str">
        <f>VLOOKUP(Q449,'Lookup Tables'!$A$38:$B$151,2,FALSE)</f>
        <v>Sept</v>
      </c>
      <c r="S449" s="36">
        <f>VLOOKUP(R449,'Lookup Tables'!$A$22:$B$33,2,FALSE)</f>
        <v>3</v>
      </c>
      <c r="T449" s="672">
        <f>VLOOKUP($E$4,'Lookup Tables'!$AQ$46:$BC$58,MATCH(PersonCalcYr3!$S449,'Lookup Tables'!$AQ$46:$BC$46),FALSE)</f>
        <v>10</v>
      </c>
      <c r="U449" s="19">
        <f>IF(P449&lt;T449,P449,T449)</f>
        <v>10</v>
      </c>
      <c r="V449" s="119">
        <f>IF((U449)&lt;=0,0,1)</f>
        <v>1</v>
      </c>
      <c r="W449" s="20">
        <f>(('Rate Tables'!$C114*$E449)*PersonCalcYr3!$U449)*$V449*$F449</f>
        <v>0</v>
      </c>
      <c r="X449" s="8">
        <f>P449-(U449*V449)</f>
        <v>2</v>
      </c>
      <c r="Y449" s="12"/>
      <c r="Z449" s="12"/>
      <c r="AA449" s="12"/>
      <c r="AB449" s="19">
        <f>X449</f>
        <v>2</v>
      </c>
      <c r="AC449" s="123">
        <f>AC415</f>
        <v>13</v>
      </c>
      <c r="AD449" s="121" t="str">
        <f>VLOOKUP(AC449,'Lookup Tables'!$A$38:$B$151,2,FALSE)</f>
        <v>July</v>
      </c>
      <c r="AE449" s="36">
        <f>VLOOKUP(AD449,'Lookup Tables'!$A$22:$B$33,2,FALSE)</f>
        <v>1</v>
      </c>
      <c r="AF449" s="87">
        <f>VLOOKUP($AE449,'Lookup Tables'!$AC$3:$AW$16,MATCH(PersonCalcYr3!$AB449,'Lookup Tables'!$AC$3:$AW$3),FALSE)</f>
        <v>2</v>
      </c>
      <c r="AG449" s="19">
        <f>IF(AB449&lt;AF449,AB449,AF449)</f>
        <v>2</v>
      </c>
      <c r="AH449" s="119">
        <f>IF((AG449)&lt;=0,0,1)</f>
        <v>1</v>
      </c>
      <c r="AI449" s="20">
        <f>(('Rate Tables'!$D114*$E449)*PersonCalcYr3!AG449)*AH449*$F449</f>
        <v>0</v>
      </c>
      <c r="AJ449" s="8">
        <f>AB449-(AG449*AH449)</f>
        <v>0</v>
      </c>
      <c r="AK449" s="12"/>
      <c r="AL449" s="12"/>
      <c r="AM449" s="19">
        <f>AJ449</f>
        <v>0</v>
      </c>
      <c r="AN449" s="123">
        <f>AN415</f>
        <v>3</v>
      </c>
      <c r="AO449" s="121" t="str">
        <f>VLOOKUP(AN449,'Lookup Tables'!$A$38:$B$151,2,FALSE)</f>
        <v>Sept</v>
      </c>
      <c r="AP449" s="36">
        <f>VLOOKUP(AO449,'Lookup Tables'!$A$22:$B$33,2,FALSE)</f>
        <v>3</v>
      </c>
      <c r="AQ449" s="87">
        <f>VLOOKUP($AP449,'Lookup Tables'!$AC$3:$AW$16,MATCH(PersonCalcYr3!$AM449,'Lookup Tables'!$AC$3:$AW$3),FALSE)</f>
        <v>0</v>
      </c>
      <c r="AR449" s="19">
        <f>IF(AM449&lt;AQ449,AM449,AQ449)</f>
        <v>0</v>
      </c>
      <c r="AS449" s="119">
        <f>IF((AR449)&lt;=0,0,1)</f>
        <v>0</v>
      </c>
      <c r="AT449" s="20">
        <f>(('Rate Tables'!$E114*$E449)*PersonCalcYr3!AR449)*AS449*$F449</f>
        <v>0</v>
      </c>
      <c r="AU449" s="8">
        <f>AM449-(AR449*AS449)</f>
        <v>0</v>
      </c>
      <c r="AV449" s="19"/>
      <c r="AW449" s="19"/>
      <c r="AX449" s="19">
        <f>AU449</f>
        <v>0</v>
      </c>
      <c r="AY449" s="123">
        <f>AY415</f>
        <v>3</v>
      </c>
      <c r="AZ449" s="121" t="str">
        <f>VLOOKUP(AY449,'Lookup Tables'!$A$38:$B$151,2,FALSE)</f>
        <v>Sept</v>
      </c>
      <c r="BA449" s="36">
        <f>VLOOKUP(AZ449,'Lookup Tables'!$A$22:$B$33,2,FALSE)</f>
        <v>3</v>
      </c>
      <c r="BB449" s="87">
        <f>VLOOKUP($BA449,'Lookup Tables'!$AC$3:$AW$16,MATCH(PersonCalcYr3!$AX449,'Lookup Tables'!$AC$3:$AW$3),FALSE)</f>
        <v>0</v>
      </c>
      <c r="BC449" s="19">
        <f>IF(AX449&lt;BB449,AX449,BB449)</f>
        <v>0</v>
      </c>
      <c r="BD449" s="119">
        <f>IF((BC449)&lt;=0,0,1)</f>
        <v>0</v>
      </c>
      <c r="BE449" s="20">
        <f>(('Rate Tables'!$F114*$E449)*PersonCalcYr3!BC449)*BD449*$F449</f>
        <v>0</v>
      </c>
      <c r="BF449" s="8">
        <f>AX449-(BC449*BD449)</f>
        <v>0</v>
      </c>
      <c r="BG449" s="19"/>
      <c r="BH449" s="19"/>
      <c r="BI449" s="19">
        <f>VLOOKUP(B411,'Lookup Tables'!$AK$22:$AM$24,3,0)</f>
        <v>1</v>
      </c>
      <c r="BJ449" s="12"/>
      <c r="BK449" s="227"/>
      <c r="BL449" s="12"/>
      <c r="BM449" s="276" t="s">
        <v>188</v>
      </c>
      <c r="BN449" s="277">
        <f>BN447*'Rate Tables'!P$8</f>
        <v>0</v>
      </c>
      <c r="BO449" s="224"/>
    </row>
    <row r="450" spans="1:67" x14ac:dyDescent="0.25">
      <c r="A450" s="145"/>
      <c r="B450" s="12"/>
      <c r="C450" s="117" t="s">
        <v>597</v>
      </c>
      <c r="D450" s="117"/>
      <c r="E450" s="13"/>
      <c r="F450" s="13" t="s">
        <v>42</v>
      </c>
      <c r="G450" s="13" t="s">
        <v>41</v>
      </c>
      <c r="H450" s="65" t="s">
        <v>77</v>
      </c>
      <c r="I450" s="150" t="s">
        <v>51</v>
      </c>
      <c r="J450" s="13" t="s">
        <v>110</v>
      </c>
      <c r="K450" s="13" t="s">
        <v>53</v>
      </c>
      <c r="L450" s="13" t="s">
        <v>82</v>
      </c>
      <c r="M450" s="13" t="s">
        <v>32</v>
      </c>
      <c r="N450" s="13" t="s">
        <v>69</v>
      </c>
      <c r="O450" s="12"/>
      <c r="P450" s="13" t="s">
        <v>72</v>
      </c>
      <c r="Q450" s="65" t="s">
        <v>80</v>
      </c>
      <c r="R450" s="62" t="s">
        <v>81</v>
      </c>
      <c r="S450" s="65" t="s">
        <v>77</v>
      </c>
      <c r="T450" s="674" t="s">
        <v>107</v>
      </c>
      <c r="U450" s="13" t="s">
        <v>78</v>
      </c>
      <c r="V450" s="13" t="s">
        <v>82</v>
      </c>
      <c r="W450" s="13" t="s">
        <v>33</v>
      </c>
      <c r="X450" s="13" t="s">
        <v>69</v>
      </c>
      <c r="Y450" s="12"/>
      <c r="Z450" s="12"/>
      <c r="AA450" s="12"/>
      <c r="AB450" s="13" t="s">
        <v>72</v>
      </c>
      <c r="AC450" s="13" t="s">
        <v>80</v>
      </c>
      <c r="AD450" s="62" t="s">
        <v>81</v>
      </c>
      <c r="AE450" s="65" t="s">
        <v>77</v>
      </c>
      <c r="AF450" s="151" t="s">
        <v>107</v>
      </c>
      <c r="AG450" s="13" t="s">
        <v>79</v>
      </c>
      <c r="AH450" s="13" t="s">
        <v>82</v>
      </c>
      <c r="AI450" s="13" t="s">
        <v>34</v>
      </c>
      <c r="AJ450" s="13" t="s">
        <v>69</v>
      </c>
      <c r="AK450" s="12"/>
      <c r="AL450" s="12"/>
      <c r="AM450" s="13" t="s">
        <v>72</v>
      </c>
      <c r="AN450" s="13" t="s">
        <v>80</v>
      </c>
      <c r="AO450" s="62" t="s">
        <v>81</v>
      </c>
      <c r="AP450" s="65" t="s">
        <v>77</v>
      </c>
      <c r="AQ450" s="151" t="s">
        <v>107</v>
      </c>
      <c r="AR450" s="13" t="s">
        <v>79</v>
      </c>
      <c r="AS450" s="13" t="s">
        <v>82</v>
      </c>
      <c r="AT450" s="13" t="s">
        <v>34</v>
      </c>
      <c r="AU450" s="13" t="s">
        <v>69</v>
      </c>
      <c r="AV450" s="13"/>
      <c r="AW450" s="13"/>
      <c r="AX450" s="13" t="s">
        <v>72</v>
      </c>
      <c r="AY450" s="13" t="s">
        <v>80</v>
      </c>
      <c r="AZ450" s="62" t="s">
        <v>81</v>
      </c>
      <c r="BA450" s="65" t="s">
        <v>77</v>
      </c>
      <c r="BB450" s="151" t="s">
        <v>107</v>
      </c>
      <c r="BC450" s="13" t="s">
        <v>79</v>
      </c>
      <c r="BD450" s="13" t="s">
        <v>82</v>
      </c>
      <c r="BE450" s="13" t="s">
        <v>34</v>
      </c>
      <c r="BF450" s="13" t="s">
        <v>69</v>
      </c>
      <c r="BG450" s="13"/>
      <c r="BH450" s="13"/>
      <c r="BI450" s="13"/>
      <c r="BJ450" s="12"/>
      <c r="BK450" s="311"/>
      <c r="BL450" s="12"/>
      <c r="BM450" s="12"/>
      <c r="BN450" s="275"/>
      <c r="BO450" s="12"/>
    </row>
    <row r="451" spans="1:67" x14ac:dyDescent="0.25">
      <c r="A451" s="145"/>
      <c r="B451" s="12"/>
      <c r="C451" s="115"/>
      <c r="D451" s="115"/>
      <c r="E451" s="152">
        <f>BL447</f>
        <v>0</v>
      </c>
      <c r="F451" s="19">
        <f>IF($D$4=2023,1,0)</f>
        <v>0</v>
      </c>
      <c r="G451" s="178">
        <f>IF($B$461="Yes",$C$5,$I460)</f>
        <v>12</v>
      </c>
      <c r="H451" s="36">
        <f>VLOOKUP(H459,'Lookup Tables'!$A$22:$B$33,2,FALSE)</f>
        <v>3</v>
      </c>
      <c r="I451" s="192">
        <f>VLOOKUP($E$4,'Lookup Tables'!$AB$46:$AN$58,MATCH($H451,'Lookup Tables'!$AB$46:$AN$46),FALSE)</f>
        <v>12</v>
      </c>
      <c r="J451" s="19">
        <f>12-I451</f>
        <v>0</v>
      </c>
      <c r="K451" s="19">
        <f>IF(G451&lt;J451,G451,J451)</f>
        <v>0</v>
      </c>
      <c r="L451" s="195">
        <f>IF(12-I451&gt;=1,1,0)</f>
        <v>0</v>
      </c>
      <c r="M451" s="20">
        <f>((('Rate Tables'!$C114*$E451)*PersonCalcYr3!$K451)*L451)*$F451</f>
        <v>0</v>
      </c>
      <c r="N451" s="8">
        <f>G451-(J451*L451)</f>
        <v>12</v>
      </c>
      <c r="O451" s="12"/>
      <c r="P451" s="8">
        <f>IF(N451&lt;0,N451*0,1)*N451</f>
        <v>12</v>
      </c>
      <c r="Q451" s="120">
        <f>VLOOKUP($H459,'Lookup Tables'!$A$22:$B$33,2,FALSE)+(K451*L451)</f>
        <v>3</v>
      </c>
      <c r="R451" s="121" t="str">
        <f>VLOOKUP(Q451,'Lookup Tables'!$A$38:$B$151,2,FALSE)</f>
        <v>Sept</v>
      </c>
      <c r="S451" s="36">
        <f>VLOOKUP(R451,'Lookup Tables'!$A$22:$B$33,2,FALSE)</f>
        <v>3</v>
      </c>
      <c r="T451" s="672">
        <f>VLOOKUP($E$4,'Lookup Tables'!$AQ$46:$BC$58,MATCH(PersonCalcYr3!$S451,'Lookup Tables'!$AQ$46:$BC$46),FALSE)</f>
        <v>10</v>
      </c>
      <c r="U451" s="19">
        <f>IF(P451&lt;T451,P451,T451)</f>
        <v>10</v>
      </c>
      <c r="V451" s="119">
        <f>IF((U451)&lt;=0,0,1)</f>
        <v>1</v>
      </c>
      <c r="W451" s="20">
        <f>(('Rate Tables'!$D114*$E451)*PersonCalcYr3!$U451)*$V451*$F451</f>
        <v>0</v>
      </c>
      <c r="X451" s="8">
        <f>P451-(U451*V451)</f>
        <v>2</v>
      </c>
      <c r="Y451" s="12"/>
      <c r="Z451" s="12"/>
      <c r="AA451" s="12"/>
      <c r="AB451" s="19">
        <f>X451</f>
        <v>2</v>
      </c>
      <c r="AC451" s="123">
        <f>AC417</f>
        <v>13</v>
      </c>
      <c r="AD451" s="121" t="str">
        <f>VLOOKUP(AC451,'Lookup Tables'!$A$38:$B$151,2,FALSE)</f>
        <v>July</v>
      </c>
      <c r="AE451" s="36">
        <f>VLOOKUP(AD451,'Lookup Tables'!$A$22:$B$33,2,FALSE)</f>
        <v>1</v>
      </c>
      <c r="AF451" s="87">
        <f>VLOOKUP($AE451,'Lookup Tables'!$AC$3:$AW$16,MATCH(PersonCalcYr3!$AB451,'Lookup Tables'!$AC$3:$AW$3),FALSE)</f>
        <v>2</v>
      </c>
      <c r="AG451" s="19">
        <f>IF(AB451&lt;AF451,AB451,AF451)</f>
        <v>2</v>
      </c>
      <c r="AH451" s="119">
        <f>IF((AG451)&lt;=0,0,1)</f>
        <v>1</v>
      </c>
      <c r="AI451" s="20">
        <f>(('Rate Tables'!$E114*$E451)*PersonCalcYr3!AG451)*AH451*$F451</f>
        <v>0</v>
      </c>
      <c r="AJ451" s="8">
        <f>AB451-(AG451*AH451)</f>
        <v>0</v>
      </c>
      <c r="AK451" s="12"/>
      <c r="AL451" s="12"/>
      <c r="AM451" s="19">
        <f>AJ451</f>
        <v>0</v>
      </c>
      <c r="AN451" s="123">
        <f>AN417</f>
        <v>3</v>
      </c>
      <c r="AO451" s="121" t="str">
        <f>VLOOKUP(AN451,'Lookup Tables'!$A$38:$B$151,2,FALSE)</f>
        <v>Sept</v>
      </c>
      <c r="AP451" s="36">
        <f>VLOOKUP(AO451,'Lookup Tables'!$A$22:$B$33,2,FALSE)</f>
        <v>3</v>
      </c>
      <c r="AQ451" s="87">
        <f>VLOOKUP($AP451,'Lookup Tables'!$AC$3:$AW$16,MATCH(PersonCalcYr3!$AM451,'Lookup Tables'!$AC$3:$AW$3),FALSE)</f>
        <v>0</v>
      </c>
      <c r="AR451" s="19">
        <f>IF(AM451&lt;AQ451,AM451,AQ451)</f>
        <v>0</v>
      </c>
      <c r="AS451" s="119">
        <f>IF((AR451)&lt;=0,0,1)</f>
        <v>0</v>
      </c>
      <c r="AT451" s="20">
        <f>(('Rate Tables'!$F114*$E451)*PersonCalcYr3!AR451)*AS451*$F451</f>
        <v>0</v>
      </c>
      <c r="AU451" s="8">
        <f>AM451-(AR451*AS451)</f>
        <v>0</v>
      </c>
      <c r="AV451" s="20"/>
      <c r="AW451" s="20"/>
      <c r="AX451" s="19">
        <f>AU451</f>
        <v>0</v>
      </c>
      <c r="AY451" s="123">
        <f>AY417</f>
        <v>3</v>
      </c>
      <c r="AZ451" s="121" t="str">
        <f>VLOOKUP(AY451,'Lookup Tables'!$A$38:$B$151,2,FALSE)</f>
        <v>Sept</v>
      </c>
      <c r="BA451" s="36">
        <f>VLOOKUP(AZ451,'Lookup Tables'!$A$22:$B$33,2,FALSE)</f>
        <v>3</v>
      </c>
      <c r="BB451" s="87">
        <f>VLOOKUP($BA451,'Lookup Tables'!$AC$3:$AW$16,MATCH(PersonCalcYr3!$AX451,'Lookup Tables'!$AC$3:$AW$3),FALSE)</f>
        <v>0</v>
      </c>
      <c r="BC451" s="19">
        <f>IF(AX451&lt;BB451,AX451,BB451)</f>
        <v>0</v>
      </c>
      <c r="BD451" s="119">
        <f>IF((BC451)&lt;=0,0,1)</f>
        <v>0</v>
      </c>
      <c r="BE451" s="20">
        <f>(('Rate Tables'!$G114*$E451)*PersonCalcYr3!BC451)*BD451*$F451</f>
        <v>0</v>
      </c>
      <c r="BF451" s="8">
        <f>AX451-(BC451*BD451)</f>
        <v>0</v>
      </c>
      <c r="BG451" s="20"/>
      <c r="BH451" s="20"/>
      <c r="BI451" s="20"/>
      <c r="BJ451" s="12"/>
      <c r="BK451" s="311"/>
      <c r="BL451" s="349" t="s">
        <v>643</v>
      </c>
      <c r="BM451" s="276" t="s">
        <v>136</v>
      </c>
      <c r="BN451" s="286">
        <f>(((O457+O458+O459+O460+AA457+AA458+AA459+AA460+AL457+AL458+AL459+AL460+AW457+AW458+AW459+AW460+BH457+BH458+BH459+BH460)*BI459)*BN452)*BL456</f>
        <v>0</v>
      </c>
      <c r="BO451" s="12" t="s">
        <v>418</v>
      </c>
    </row>
    <row r="452" spans="1:67" x14ac:dyDescent="0.25">
      <c r="A452" s="145"/>
      <c r="B452" s="12"/>
      <c r="C452" s="117" t="s">
        <v>664</v>
      </c>
      <c r="D452" s="117"/>
      <c r="E452" s="13"/>
      <c r="F452" s="13" t="s">
        <v>42</v>
      </c>
      <c r="G452" s="13" t="s">
        <v>41</v>
      </c>
      <c r="H452" s="65" t="s">
        <v>77</v>
      </c>
      <c r="I452" s="150" t="s">
        <v>51</v>
      </c>
      <c r="J452" s="13" t="s">
        <v>110</v>
      </c>
      <c r="K452" s="13" t="s">
        <v>53</v>
      </c>
      <c r="L452" s="13" t="s">
        <v>82</v>
      </c>
      <c r="M452" s="13" t="s">
        <v>32</v>
      </c>
      <c r="N452" s="13" t="s">
        <v>69</v>
      </c>
      <c r="O452" s="12"/>
      <c r="P452" s="13" t="s">
        <v>72</v>
      </c>
      <c r="Q452" s="65" t="s">
        <v>80</v>
      </c>
      <c r="R452" s="62" t="s">
        <v>81</v>
      </c>
      <c r="S452" s="65" t="s">
        <v>77</v>
      </c>
      <c r="T452" s="674" t="s">
        <v>107</v>
      </c>
      <c r="U452" s="13" t="s">
        <v>78</v>
      </c>
      <c r="V452" s="13" t="s">
        <v>82</v>
      </c>
      <c r="W452" s="13" t="s">
        <v>33</v>
      </c>
      <c r="X452" s="13" t="s">
        <v>69</v>
      </c>
      <c r="Y452" s="12"/>
      <c r="Z452" s="12"/>
      <c r="AA452" s="12"/>
      <c r="AB452" s="13" t="s">
        <v>72</v>
      </c>
      <c r="AC452" s="13" t="s">
        <v>80</v>
      </c>
      <c r="AD452" s="62" t="s">
        <v>81</v>
      </c>
      <c r="AE452" s="65" t="s">
        <v>77</v>
      </c>
      <c r="AF452" s="151" t="s">
        <v>107</v>
      </c>
      <c r="AG452" s="13" t="s">
        <v>79</v>
      </c>
      <c r="AH452" s="13" t="s">
        <v>82</v>
      </c>
      <c r="AI452" s="13" t="s">
        <v>34</v>
      </c>
      <c r="AJ452" s="13" t="s">
        <v>69</v>
      </c>
      <c r="AK452" s="12"/>
      <c r="AL452" s="12"/>
      <c r="AM452" s="13" t="s">
        <v>72</v>
      </c>
      <c r="AN452" s="13" t="s">
        <v>80</v>
      </c>
      <c r="AO452" s="62" t="s">
        <v>81</v>
      </c>
      <c r="AP452" s="65" t="s">
        <v>77</v>
      </c>
      <c r="AQ452" s="151" t="s">
        <v>107</v>
      </c>
      <c r="AR452" s="13" t="s">
        <v>79</v>
      </c>
      <c r="AS452" s="13" t="s">
        <v>82</v>
      </c>
      <c r="AT452" s="13" t="s">
        <v>34</v>
      </c>
      <c r="AU452" s="13" t="s">
        <v>69</v>
      </c>
      <c r="AV452" s="20"/>
      <c r="AW452" s="20"/>
      <c r="AX452" s="13" t="s">
        <v>72</v>
      </c>
      <c r="AY452" s="13" t="s">
        <v>80</v>
      </c>
      <c r="AZ452" s="62" t="s">
        <v>81</v>
      </c>
      <c r="BA452" s="65" t="s">
        <v>77</v>
      </c>
      <c r="BB452" s="151" t="s">
        <v>107</v>
      </c>
      <c r="BC452" s="13" t="s">
        <v>79</v>
      </c>
      <c r="BD452" s="13" t="s">
        <v>82</v>
      </c>
      <c r="BE452" s="13" t="s">
        <v>34</v>
      </c>
      <c r="BF452" s="13" t="s">
        <v>69</v>
      </c>
      <c r="BG452" s="20"/>
      <c r="BH452" s="20"/>
      <c r="BI452" s="20"/>
      <c r="BJ452" s="12"/>
      <c r="BK452" s="311"/>
      <c r="BL452" s="350" t="s">
        <v>644</v>
      </c>
      <c r="BM452" s="227" t="s">
        <v>582</v>
      </c>
      <c r="BN452" s="663">
        <f>IF(BN447&gt;0,1,0)</f>
        <v>0</v>
      </c>
      <c r="BO452" s="12"/>
    </row>
    <row r="453" spans="1:67" x14ac:dyDescent="0.25">
      <c r="A453" s="145"/>
      <c r="B453" s="12"/>
      <c r="C453" s="115"/>
      <c r="D453" s="115"/>
      <c r="E453" s="152">
        <f>BL447</f>
        <v>0</v>
      </c>
      <c r="F453" s="19">
        <f>IF($D$4=2024,1,0)</f>
        <v>1</v>
      </c>
      <c r="G453" s="178">
        <f>IF($B$461="Yes",$C$5,$I460)</f>
        <v>12</v>
      </c>
      <c r="H453" s="36">
        <f>VLOOKUP(H459,'Lookup Tables'!$A$22:$B$33,2,FALSE)</f>
        <v>3</v>
      </c>
      <c r="I453" s="192">
        <f>VLOOKUP($E$4,'Lookup Tables'!$AB$46:$AN$58,MATCH($H453,'Lookup Tables'!$AB$46:$AN$46),FALSE)</f>
        <v>12</v>
      </c>
      <c r="J453" s="19">
        <f>12-I453</f>
        <v>0</v>
      </c>
      <c r="K453" s="19">
        <f>IF(G453&lt;J453,G453,J453)</f>
        <v>0</v>
      </c>
      <c r="L453" s="195">
        <f>IF(12-I453&gt;=1,1,0)</f>
        <v>0</v>
      </c>
      <c r="M453" s="20">
        <f>((('Rate Tables'!$D114*$E453)*PersonCalcYr3!$K453)*L453)*$F453</f>
        <v>0</v>
      </c>
      <c r="N453" s="8">
        <f>G453-(J453*L453)</f>
        <v>12</v>
      </c>
      <c r="O453" s="12"/>
      <c r="P453" s="8">
        <f>IF(N453&lt;0,N453*0,1)*N453</f>
        <v>12</v>
      </c>
      <c r="Q453" s="120">
        <f>VLOOKUP($H459,'Lookup Tables'!$A$22:$B$33,2,FALSE)+(K453*L453)</f>
        <v>3</v>
      </c>
      <c r="R453" s="121" t="str">
        <f>VLOOKUP(Q453,'Lookup Tables'!$A$38:$B$151,2,FALSE)</f>
        <v>Sept</v>
      </c>
      <c r="S453" s="36">
        <f>VLOOKUP(R453,'Lookup Tables'!$A$22:$B$33,2,FALSE)</f>
        <v>3</v>
      </c>
      <c r="T453" s="672">
        <f>VLOOKUP($E$4,'Lookup Tables'!$AQ$46:$BC$58,MATCH(PersonCalcYr3!$S453,'Lookup Tables'!$AQ$46:$BC$46),FALSE)</f>
        <v>10</v>
      </c>
      <c r="U453" s="19">
        <f>IF(P453&lt;T453,P453,T453)</f>
        <v>10</v>
      </c>
      <c r="V453" s="119">
        <f>IF((U453)&lt;=0,0,1)</f>
        <v>1</v>
      </c>
      <c r="W453" s="20">
        <f>(('Rate Tables'!$E114*$E453)*PersonCalcYr3!$U453)*$V453*$F453</f>
        <v>0</v>
      </c>
      <c r="X453" s="8">
        <f>P453-(U453*V453)</f>
        <v>2</v>
      </c>
      <c r="Y453" s="12"/>
      <c r="Z453" s="12"/>
      <c r="AA453" s="12"/>
      <c r="AB453" s="19">
        <f>X453</f>
        <v>2</v>
      </c>
      <c r="AC453" s="123">
        <f>AC419</f>
        <v>13</v>
      </c>
      <c r="AD453" s="121" t="str">
        <f>VLOOKUP(AC453,'Lookup Tables'!$A$38:$B$151,2,FALSE)</f>
        <v>July</v>
      </c>
      <c r="AE453" s="36">
        <f>VLOOKUP(AD453,'Lookup Tables'!$A$22:$B$33,2,FALSE)</f>
        <v>1</v>
      </c>
      <c r="AF453" s="87">
        <f>VLOOKUP($AE453,'Lookup Tables'!$AC$3:$AW$16,MATCH(PersonCalcYr3!$AB453,'Lookup Tables'!$AC$3:$AW$3),FALSE)</f>
        <v>2</v>
      </c>
      <c r="AG453" s="19">
        <f>IF(AB453&lt;AF453,AB453,AF453)</f>
        <v>2</v>
      </c>
      <c r="AH453" s="119">
        <f>IF((AG453)&lt;=0,0,1)</f>
        <v>1</v>
      </c>
      <c r="AI453" s="20">
        <f>(('Rate Tables'!$F114*$E453)*PersonCalcYr3!AG453)*AH453*$F453</f>
        <v>0</v>
      </c>
      <c r="AJ453" s="8">
        <f>AB453-(AG453*AH453)</f>
        <v>0</v>
      </c>
      <c r="AK453" s="12"/>
      <c r="AL453" s="12"/>
      <c r="AM453" s="19">
        <f>AJ453</f>
        <v>0</v>
      </c>
      <c r="AN453" s="123">
        <f>AN419</f>
        <v>3</v>
      </c>
      <c r="AO453" s="121" t="str">
        <f>VLOOKUP(AN453,'Lookup Tables'!$A$38:$B$151,2,FALSE)</f>
        <v>Sept</v>
      </c>
      <c r="AP453" s="36">
        <f>VLOOKUP(AO453,'Lookup Tables'!$A$22:$B$33,2,FALSE)</f>
        <v>3</v>
      </c>
      <c r="AQ453" s="87">
        <f>VLOOKUP($AP453,'Lookup Tables'!$AC$3:$AW$16,MATCH(PersonCalcYr3!$AM453,'Lookup Tables'!$AC$3:$AW$3),FALSE)</f>
        <v>0</v>
      </c>
      <c r="AR453" s="19">
        <f>IF(AM453&lt;AQ453,AM453,AQ453)</f>
        <v>0</v>
      </c>
      <c r="AS453" s="119">
        <f>IF((AR453)&lt;=0,0,1)</f>
        <v>0</v>
      </c>
      <c r="AT453" s="20">
        <f>(('Rate Tables'!$G114*$E453)*PersonCalcYr3!AR453)*AS453*$F453</f>
        <v>0</v>
      </c>
      <c r="AU453" s="8">
        <f>AM453-(AR453*AS453)</f>
        <v>0</v>
      </c>
      <c r="AV453" s="20"/>
      <c r="AW453" s="20"/>
      <c r="AX453" s="19">
        <f>AU453</f>
        <v>0</v>
      </c>
      <c r="AY453" s="123">
        <f>AY419</f>
        <v>3</v>
      </c>
      <c r="AZ453" s="121" t="str">
        <f>VLOOKUP(AY453,'Lookup Tables'!$A$38:$B$151,2,FALSE)</f>
        <v>Sept</v>
      </c>
      <c r="BA453" s="36">
        <f>VLOOKUP(AZ453,'Lookup Tables'!$A$22:$B$33,2,FALSE)</f>
        <v>3</v>
      </c>
      <c r="BB453" s="87">
        <f>VLOOKUP($BA453,'Lookup Tables'!$AC$3:$AW$16,MATCH(PersonCalcYr3!$AX453,'Lookup Tables'!$AC$3:$AW$3),FALSE)</f>
        <v>0</v>
      </c>
      <c r="BC453" s="19">
        <f>IF(AX453&lt;BB453,AX453,BB453)</f>
        <v>0</v>
      </c>
      <c r="BD453" s="119">
        <f>IF((BC453)&lt;=0,0,1)</f>
        <v>0</v>
      </c>
      <c r="BE453" s="20">
        <f>(('Rate Tables'!$H114*$E453)*PersonCalcYr3!BC453)*BD453*$F453</f>
        <v>0</v>
      </c>
      <c r="BF453" s="8">
        <f>AX453-(BC453*BD453)</f>
        <v>0</v>
      </c>
      <c r="BG453" s="20"/>
      <c r="BH453" s="20"/>
      <c r="BI453" s="20"/>
      <c r="BJ453" s="12"/>
      <c r="BK453" s="311"/>
      <c r="BL453" s="358" t="str">
        <f>IF(BL447=50%,"no",Personnel!W102)</f>
        <v>No</v>
      </c>
      <c r="BM453" s="276"/>
      <c r="BN453" s="286"/>
      <c r="BO453" s="12"/>
    </row>
    <row r="454" spans="1:67" x14ac:dyDescent="0.25">
      <c r="A454" s="145"/>
      <c r="B454" s="12"/>
      <c r="C454" s="819" t="s">
        <v>732</v>
      </c>
      <c r="D454" s="117"/>
      <c r="E454" s="13"/>
      <c r="F454" s="13" t="s">
        <v>42</v>
      </c>
      <c r="G454" s="13" t="s">
        <v>41</v>
      </c>
      <c r="H454" s="65" t="s">
        <v>77</v>
      </c>
      <c r="I454" s="150" t="s">
        <v>51</v>
      </c>
      <c r="J454" s="13" t="s">
        <v>110</v>
      </c>
      <c r="K454" s="13" t="s">
        <v>53</v>
      </c>
      <c r="L454" s="13" t="s">
        <v>82</v>
      </c>
      <c r="M454" s="13" t="s">
        <v>32</v>
      </c>
      <c r="N454" s="13" t="s">
        <v>69</v>
      </c>
      <c r="O454" s="12"/>
      <c r="P454" s="13" t="s">
        <v>72</v>
      </c>
      <c r="Q454" s="65" t="s">
        <v>80</v>
      </c>
      <c r="R454" s="62" t="s">
        <v>81</v>
      </c>
      <c r="S454" s="65" t="s">
        <v>77</v>
      </c>
      <c r="T454" s="674" t="s">
        <v>107</v>
      </c>
      <c r="U454" s="13" t="s">
        <v>78</v>
      </c>
      <c r="V454" s="13" t="s">
        <v>82</v>
      </c>
      <c r="W454" s="13" t="s">
        <v>33</v>
      </c>
      <c r="X454" s="13" t="s">
        <v>69</v>
      </c>
      <c r="Y454" s="12"/>
      <c r="Z454" s="12"/>
      <c r="AA454" s="12"/>
      <c r="AB454" s="13" t="s">
        <v>72</v>
      </c>
      <c r="AC454" s="13" t="s">
        <v>80</v>
      </c>
      <c r="AD454" s="62" t="s">
        <v>81</v>
      </c>
      <c r="AE454" s="65" t="s">
        <v>77</v>
      </c>
      <c r="AF454" s="151" t="s">
        <v>107</v>
      </c>
      <c r="AG454" s="13" t="s">
        <v>79</v>
      </c>
      <c r="AH454" s="13" t="s">
        <v>82</v>
      </c>
      <c r="AI454" s="13" t="s">
        <v>34</v>
      </c>
      <c r="AJ454" s="13" t="s">
        <v>69</v>
      </c>
      <c r="AK454" s="12"/>
      <c r="AL454" s="12"/>
      <c r="AM454" s="13" t="s">
        <v>72</v>
      </c>
      <c r="AN454" s="13" t="s">
        <v>80</v>
      </c>
      <c r="AO454" s="62" t="s">
        <v>81</v>
      </c>
      <c r="AP454" s="65" t="s">
        <v>77</v>
      </c>
      <c r="AQ454" s="151" t="s">
        <v>107</v>
      </c>
      <c r="AR454" s="13" t="s">
        <v>79</v>
      </c>
      <c r="AS454" s="13" t="s">
        <v>82</v>
      </c>
      <c r="AT454" s="13" t="s">
        <v>34</v>
      </c>
      <c r="AU454" s="13" t="s">
        <v>69</v>
      </c>
      <c r="AV454" s="20"/>
      <c r="AW454" s="20"/>
      <c r="AX454" s="13" t="s">
        <v>72</v>
      </c>
      <c r="AY454" s="13" t="s">
        <v>80</v>
      </c>
      <c r="AZ454" s="62" t="s">
        <v>81</v>
      </c>
      <c r="BA454" s="65" t="s">
        <v>77</v>
      </c>
      <c r="BB454" s="151" t="s">
        <v>107</v>
      </c>
      <c r="BC454" s="13" t="s">
        <v>79</v>
      </c>
      <c r="BD454" s="13" t="s">
        <v>82</v>
      </c>
      <c r="BE454" s="13" t="s">
        <v>34</v>
      </c>
      <c r="BF454" s="13" t="s">
        <v>69</v>
      </c>
      <c r="BG454" s="20"/>
      <c r="BH454" s="20"/>
      <c r="BI454" s="20"/>
      <c r="BJ454" s="12"/>
      <c r="BK454" s="311"/>
      <c r="BL454" s="358"/>
      <c r="BM454" s="276"/>
      <c r="BN454" s="286"/>
      <c r="BO454" s="12"/>
    </row>
    <row r="455" spans="1:67" x14ac:dyDescent="0.25">
      <c r="A455" s="145"/>
      <c r="B455" s="12"/>
      <c r="C455" s="115"/>
      <c r="D455" s="115"/>
      <c r="E455" s="152">
        <f>BL447</f>
        <v>0</v>
      </c>
      <c r="F455" s="19">
        <f>IF($D$4=2025,1,0)</f>
        <v>0</v>
      </c>
      <c r="G455" s="178">
        <f>IF($B$461="Yes",$C$5,$I460)</f>
        <v>12</v>
      </c>
      <c r="H455" s="36">
        <f>VLOOKUP(H459,'Lookup Tables'!$A$22:$B$33,2,FALSE)</f>
        <v>3</v>
      </c>
      <c r="I455" s="192">
        <f>VLOOKUP($E$4,'Lookup Tables'!$AB$46:$AN$58,MATCH($H455,'Lookup Tables'!$AB$46:$AN$46),FALSE)</f>
        <v>12</v>
      </c>
      <c r="J455" s="19">
        <f>12-I455</f>
        <v>0</v>
      </c>
      <c r="K455" s="19">
        <f>IF(G455&lt;J455,G455,J455)</f>
        <v>0</v>
      </c>
      <c r="L455" s="195">
        <f>IF(12-I455&gt;=1,1,0)</f>
        <v>0</v>
      </c>
      <c r="M455" s="20">
        <f>((('Rate Tables'!$E114*$E455)*PersonCalcYr3!$K455)*L455)*$F455</f>
        <v>0</v>
      </c>
      <c r="N455" s="8">
        <f>G455-(J455*L455)</f>
        <v>12</v>
      </c>
      <c r="O455" s="12"/>
      <c r="P455" s="8">
        <f>IF(N455&lt;0,N455*0,1)*N455</f>
        <v>12</v>
      </c>
      <c r="Q455" s="120">
        <f>VLOOKUP($H459,'Lookup Tables'!$A$22:$B$33,2,FALSE)+(K455*L455)</f>
        <v>3</v>
      </c>
      <c r="R455" s="121" t="str">
        <f>VLOOKUP(Q455,'Lookup Tables'!$A$38:$B$151,2,FALSE)</f>
        <v>Sept</v>
      </c>
      <c r="S455" s="36">
        <f>VLOOKUP(R455,'Lookup Tables'!$A$22:$B$33,2,FALSE)</f>
        <v>3</v>
      </c>
      <c r="T455" s="672">
        <f>VLOOKUP($E$4,'Lookup Tables'!$AQ$46:$BC$58,MATCH(PersonCalcYr3!$S455,'Lookup Tables'!$AQ$46:$BC$46),FALSE)</f>
        <v>10</v>
      </c>
      <c r="U455" s="19">
        <f>IF(P455&lt;T455,P455,T455)</f>
        <v>10</v>
      </c>
      <c r="V455" s="119">
        <f>IF((U455)&lt;=0,0,1)</f>
        <v>1</v>
      </c>
      <c r="W455" s="20">
        <f>(('Rate Tables'!$F114*$E455)*PersonCalcYr3!$U455)*$V455*$F455</f>
        <v>0</v>
      </c>
      <c r="X455" s="8">
        <f>P455-(U455*V455)</f>
        <v>2</v>
      </c>
      <c r="Y455" s="12"/>
      <c r="Z455" s="12"/>
      <c r="AA455" s="12"/>
      <c r="AB455" s="19">
        <f>X455</f>
        <v>2</v>
      </c>
      <c r="AC455" s="123">
        <f>AC421</f>
        <v>13</v>
      </c>
      <c r="AD455" s="121" t="str">
        <f>VLOOKUP(AC455,'Lookup Tables'!$A$38:$B$151,2,FALSE)</f>
        <v>July</v>
      </c>
      <c r="AE455" s="36">
        <f>VLOOKUP(AD455,'Lookup Tables'!$A$22:$B$33,2,FALSE)</f>
        <v>1</v>
      </c>
      <c r="AF455" s="87">
        <f>VLOOKUP($AE455,'Lookup Tables'!$AC$3:$AW$16,MATCH(PersonCalcYr3!$AB455,'Lookup Tables'!$AC$3:$AW$3),FALSE)</f>
        <v>2</v>
      </c>
      <c r="AG455" s="19">
        <f>IF(AB455&lt;AF455,AB455,AF455)</f>
        <v>2</v>
      </c>
      <c r="AH455" s="119">
        <f>IF((AG455)&lt;=0,0,1)</f>
        <v>1</v>
      </c>
      <c r="AI455" s="20">
        <f>(('Rate Tables'!$G114*$E455)*PersonCalcYr3!AG455)*AH455*$F455</f>
        <v>0</v>
      </c>
      <c r="AJ455" s="8">
        <f>AB455-(AG455*AH455)</f>
        <v>0</v>
      </c>
      <c r="AK455" s="12"/>
      <c r="AL455" s="12"/>
      <c r="AM455" s="19">
        <f>AJ455</f>
        <v>0</v>
      </c>
      <c r="AN455" s="123">
        <f>AN421</f>
        <v>3</v>
      </c>
      <c r="AO455" s="121" t="str">
        <f>VLOOKUP(AN455,'Lookup Tables'!$A$38:$B$151,2,FALSE)</f>
        <v>Sept</v>
      </c>
      <c r="AP455" s="36">
        <f>VLOOKUP(AO455,'Lookup Tables'!$A$22:$B$33,2,FALSE)</f>
        <v>3</v>
      </c>
      <c r="AQ455" s="87">
        <f>VLOOKUP($AP455,'Lookup Tables'!$AC$3:$AW$16,MATCH(PersonCalcYr3!$AM455,'Lookup Tables'!$AC$3:$AW$3),FALSE)</f>
        <v>0</v>
      </c>
      <c r="AR455" s="19">
        <f>IF(AM455&lt;AQ455,AM455,AQ455)</f>
        <v>0</v>
      </c>
      <c r="AS455" s="119">
        <f>IF((AR455)&lt;=0,0,1)</f>
        <v>0</v>
      </c>
      <c r="AT455" s="20">
        <f>(('Rate Tables'!$H114*$E455)*PersonCalcYr3!AR455)*AS455*$F455</f>
        <v>0</v>
      </c>
      <c r="AU455" s="8">
        <f>AM455-(AR455*AS455)</f>
        <v>0</v>
      </c>
      <c r="AV455" s="20"/>
      <c r="AW455" s="20"/>
      <c r="AX455" s="19">
        <f>AU455</f>
        <v>0</v>
      </c>
      <c r="AY455" s="123">
        <f>AY421</f>
        <v>3</v>
      </c>
      <c r="AZ455" s="121" t="str">
        <f>VLOOKUP(AY455,'Lookup Tables'!$A$38:$B$151,2,FALSE)</f>
        <v>Sept</v>
      </c>
      <c r="BA455" s="36">
        <f>VLOOKUP(AZ455,'Lookup Tables'!$A$22:$B$33,2,FALSE)</f>
        <v>3</v>
      </c>
      <c r="BB455" s="87">
        <f>VLOOKUP($BA455,'Lookup Tables'!$AC$3:$AW$16,MATCH(PersonCalcYr3!$AX455,'Lookup Tables'!$AC$3:$AW$3),FALSE)</f>
        <v>0</v>
      </c>
      <c r="BC455" s="19">
        <f>IF(AX455&lt;BB455,AX455,BB455)</f>
        <v>0</v>
      </c>
      <c r="BD455" s="119">
        <f>IF((BC455)&lt;=0,0,1)</f>
        <v>0</v>
      </c>
      <c r="BE455" s="20">
        <f>(('Rate Tables'!$I114*$E455)*PersonCalcYr3!BC455)*BD455*$F455</f>
        <v>0</v>
      </c>
      <c r="BF455" s="8">
        <f>AX455-(BC455*BD455)</f>
        <v>0</v>
      </c>
      <c r="BG455" s="20"/>
      <c r="BH455" s="20"/>
      <c r="BI455" s="20"/>
      <c r="BJ455" s="12"/>
      <c r="BK455" s="311"/>
      <c r="BL455" s="358"/>
      <c r="BM455" s="276"/>
      <c r="BN455" s="286"/>
      <c r="BO455" s="12"/>
    </row>
    <row r="456" spans="1:67" x14ac:dyDescent="0.25">
      <c r="A456" s="145"/>
      <c r="B456" s="12"/>
      <c r="C456" s="115"/>
      <c r="D456" s="115"/>
      <c r="E456" s="152"/>
      <c r="F456" s="19"/>
      <c r="G456" s="178"/>
      <c r="H456" s="12"/>
      <c r="I456" s="496"/>
      <c r="J456" s="19"/>
      <c r="K456" s="19"/>
      <c r="L456" s="195"/>
      <c r="M456" s="13" t="s">
        <v>129</v>
      </c>
      <c r="N456" s="13" t="s">
        <v>128</v>
      </c>
      <c r="O456" s="153" t="s">
        <v>130</v>
      </c>
      <c r="P456" s="12"/>
      <c r="Q456" s="12"/>
      <c r="R456" s="12"/>
      <c r="S456" s="12"/>
      <c r="T456" s="12"/>
      <c r="U456" s="12"/>
      <c r="V456" s="12"/>
      <c r="W456" s="12"/>
      <c r="X456" s="12"/>
      <c r="Y456" s="13" t="s">
        <v>129</v>
      </c>
      <c r="Z456" s="13" t="s">
        <v>128</v>
      </c>
      <c r="AA456" s="153" t="s">
        <v>130</v>
      </c>
      <c r="AB456" s="12"/>
      <c r="AC456" s="12"/>
      <c r="AD456" s="12"/>
      <c r="AE456" s="12"/>
      <c r="AF456" s="12"/>
      <c r="AG456" s="12"/>
      <c r="AH456" s="12"/>
      <c r="AI456" s="12"/>
      <c r="AJ456" s="13" t="s">
        <v>129</v>
      </c>
      <c r="AK456" s="13" t="s">
        <v>128</v>
      </c>
      <c r="AL456" s="153" t="s">
        <v>130</v>
      </c>
      <c r="AM456" s="11"/>
      <c r="AN456" s="12"/>
      <c r="AO456" s="12"/>
      <c r="AP456" s="12"/>
      <c r="AQ456" s="12"/>
      <c r="AR456" s="12"/>
      <c r="AS456" s="12"/>
      <c r="AT456" s="12"/>
      <c r="AU456" s="13" t="s">
        <v>129</v>
      </c>
      <c r="AV456" s="13" t="s">
        <v>128</v>
      </c>
      <c r="AW456" s="153" t="s">
        <v>130</v>
      </c>
      <c r="AX456" s="11"/>
      <c r="AY456" s="12"/>
      <c r="AZ456" s="12"/>
      <c r="BA456" s="12"/>
      <c r="BB456" s="12"/>
      <c r="BC456" s="12"/>
      <c r="BD456" s="12"/>
      <c r="BE456" s="12"/>
      <c r="BF456" s="13" t="s">
        <v>129</v>
      </c>
      <c r="BG456" s="13" t="s">
        <v>128</v>
      </c>
      <c r="BH456" s="153" t="s">
        <v>130</v>
      </c>
      <c r="BI456" s="20"/>
      <c r="BJ456" s="12"/>
      <c r="BK456" s="311"/>
      <c r="BL456" s="349">
        <f>IF(BL453="yes",0.5,1)</f>
        <v>1</v>
      </c>
      <c r="BM456" s="276"/>
      <c r="BN456" s="286"/>
      <c r="BO456" s="12"/>
    </row>
    <row r="457" spans="1:67" x14ac:dyDescent="0.25">
      <c r="A457" s="145"/>
      <c r="B457" s="12"/>
      <c r="C457" s="115"/>
      <c r="D457" s="115"/>
      <c r="E457" s="152"/>
      <c r="F457" s="19"/>
      <c r="G457" s="178"/>
      <c r="H457" s="12"/>
      <c r="I457" s="496"/>
      <c r="J457" s="19"/>
      <c r="K457" s="19"/>
      <c r="L457" s="195"/>
      <c r="M457" s="129">
        <f>'Rate Tables'!$P$17</f>
        <v>910</v>
      </c>
      <c r="N457" s="146">
        <f>(K449*L449)*F449</f>
        <v>0</v>
      </c>
      <c r="O457" s="154">
        <f>M457*N457</f>
        <v>0</v>
      </c>
      <c r="P457" s="12"/>
      <c r="Q457" s="12"/>
      <c r="R457" s="12"/>
      <c r="S457" s="12"/>
      <c r="T457" s="12"/>
      <c r="U457" s="12"/>
      <c r="V457" s="12"/>
      <c r="W457" s="12"/>
      <c r="X457" s="12"/>
      <c r="Y457" s="129">
        <f>'Rate Tables'!$P$18</f>
        <v>910</v>
      </c>
      <c r="Z457" s="146">
        <f>U449*V449*F449</f>
        <v>0</v>
      </c>
      <c r="AA457" s="125">
        <f>Y457*Z457</f>
        <v>0</v>
      </c>
      <c r="AB457" s="12"/>
      <c r="AC457" s="12"/>
      <c r="AD457" s="12"/>
      <c r="AE457" s="12"/>
      <c r="AF457" s="12"/>
      <c r="AG457" s="12"/>
      <c r="AH457" s="12"/>
      <c r="AI457" s="12"/>
      <c r="AJ457" s="129">
        <f>'Rate Tables'!$P$19</f>
        <v>910</v>
      </c>
      <c r="AK457" s="146">
        <f>AG449*AH449*F449</f>
        <v>0</v>
      </c>
      <c r="AL457" s="125">
        <f>AJ457*AK457</f>
        <v>0</v>
      </c>
      <c r="AM457" s="11"/>
      <c r="AN457" s="12"/>
      <c r="AO457" s="12"/>
      <c r="AP457" s="12"/>
      <c r="AQ457" s="12"/>
      <c r="AR457" s="12"/>
      <c r="AS457" s="12"/>
      <c r="AT457" s="12"/>
      <c r="AU457" s="129">
        <f>'Rate Tables'!$P$20</f>
        <v>928.2</v>
      </c>
      <c r="AV457" s="146">
        <f>AR449*AS449*F449</f>
        <v>0</v>
      </c>
      <c r="AW457" s="125">
        <f>AU457*AV457</f>
        <v>0</v>
      </c>
      <c r="AX457" s="11"/>
      <c r="AY457" s="12"/>
      <c r="AZ457" s="12"/>
      <c r="BA457" s="12"/>
      <c r="BB457" s="12"/>
      <c r="BC457" s="12"/>
      <c r="BD457" s="12"/>
      <c r="BE457" s="12"/>
      <c r="BF457" s="129">
        <f>'Rate Tables'!$P$21</f>
        <v>946.76</v>
      </c>
      <c r="BG457" s="146">
        <f>BC449*BD449*F449</f>
        <v>0</v>
      </c>
      <c r="BH457" s="125">
        <f>BF457*BG457</f>
        <v>0</v>
      </c>
      <c r="BI457" s="20"/>
      <c r="BJ457" s="12"/>
      <c r="BK457" s="311"/>
      <c r="BL457" s="12"/>
      <c r="BM457" s="276"/>
      <c r="BN457" s="286"/>
      <c r="BO457" s="12"/>
    </row>
    <row r="458" spans="1:67" x14ac:dyDescent="0.25">
      <c r="A458" s="145"/>
      <c r="B458" s="12" t="s">
        <v>127</v>
      </c>
      <c r="C458" s="12"/>
      <c r="D458" s="12"/>
      <c r="E458" s="12"/>
      <c r="F458" s="12"/>
      <c r="G458" s="12"/>
      <c r="H458" s="12"/>
      <c r="I458" s="12"/>
      <c r="J458" s="12"/>
      <c r="K458" s="12"/>
      <c r="L458" s="13"/>
      <c r="M458" s="129">
        <f>'Rate Tables'!$P$18</f>
        <v>910</v>
      </c>
      <c r="N458" s="146">
        <f>K451*L451*F451</f>
        <v>0</v>
      </c>
      <c r="O458" s="154">
        <f>M458*N458</f>
        <v>0</v>
      </c>
      <c r="P458" s="12"/>
      <c r="Q458" s="12"/>
      <c r="R458" s="12"/>
      <c r="S458" s="12"/>
      <c r="T458" s="12"/>
      <c r="U458" s="12"/>
      <c r="V458" s="12"/>
      <c r="W458" s="12"/>
      <c r="X458" s="12"/>
      <c r="Y458" s="129">
        <f>'Rate Tables'!$P$19</f>
        <v>910</v>
      </c>
      <c r="Z458" s="146">
        <f>U451*V451*F451</f>
        <v>0</v>
      </c>
      <c r="AA458" s="125">
        <f>Y458*Z458</f>
        <v>0</v>
      </c>
      <c r="AB458" s="12"/>
      <c r="AC458" s="12"/>
      <c r="AD458" s="12"/>
      <c r="AE458" s="12"/>
      <c r="AF458" s="12"/>
      <c r="AG458" s="12"/>
      <c r="AH458" s="12"/>
      <c r="AI458" s="12"/>
      <c r="AJ458" s="129">
        <f>'Rate Tables'!$P$20</f>
        <v>928.2</v>
      </c>
      <c r="AK458" s="146">
        <f>AG451*AH451*F451</f>
        <v>0</v>
      </c>
      <c r="AL458" s="125">
        <f>AJ458*AK458</f>
        <v>0</v>
      </c>
      <c r="AM458" s="11"/>
      <c r="AN458" s="12"/>
      <c r="AO458" s="12"/>
      <c r="AP458" s="12"/>
      <c r="AQ458" s="12"/>
      <c r="AR458" s="12"/>
      <c r="AS458" s="12"/>
      <c r="AT458" s="12"/>
      <c r="AU458" s="129">
        <f>'Rate Tables'!$P$21</f>
        <v>946.76</v>
      </c>
      <c r="AV458" s="146">
        <f>AR451*AS451*F451</f>
        <v>0</v>
      </c>
      <c r="AW458" s="125">
        <f>AU458*AV458</f>
        <v>0</v>
      </c>
      <c r="AX458" s="11"/>
      <c r="AY458" s="12"/>
      <c r="AZ458" s="12"/>
      <c r="BA458" s="12"/>
      <c r="BB458" s="12"/>
      <c r="BC458" s="12"/>
      <c r="BD458" s="12"/>
      <c r="BE458" s="12"/>
      <c r="BF458" s="129">
        <f>'Rate Tables'!$P$22</f>
        <v>965.7</v>
      </c>
      <c r="BG458" s="146">
        <f>BC451*BD451*F451</f>
        <v>0</v>
      </c>
      <c r="BH458" s="125">
        <f>BF458*BG458</f>
        <v>0</v>
      </c>
      <c r="BI458" s="13" t="s">
        <v>159</v>
      </c>
      <c r="BJ458" s="12"/>
      <c r="BK458" s="227"/>
      <c r="BL458" s="12"/>
      <c r="BM458" s="12"/>
      <c r="BN458" s="275"/>
      <c r="BO458" s="372">
        <f>VLOOKUP('F&amp;ARatesCalc'!$B$1,'F&amp;ARatesCalc'!$A$3:$B$5,2,FALSE)</f>
        <v>0.56999999999999995</v>
      </c>
    </row>
    <row r="459" spans="1:67" x14ac:dyDescent="0.25">
      <c r="A459" s="145"/>
      <c r="B459" s="12"/>
      <c r="C459" s="12"/>
      <c r="D459" s="12"/>
      <c r="E459" s="12"/>
      <c r="F459" s="12"/>
      <c r="G459" s="178" t="s">
        <v>430</v>
      </c>
      <c r="H459" s="178" t="str">
        <f>IF(B461="yes",$C$4,A463)</f>
        <v>Sept</v>
      </c>
      <c r="I459" s="12"/>
      <c r="J459" s="12"/>
      <c r="K459" s="12"/>
      <c r="L459" s="12"/>
      <c r="M459" s="129">
        <f>'Rate Tables'!$P$19</f>
        <v>910</v>
      </c>
      <c r="N459" s="146">
        <f>(K453*L453)*F453</f>
        <v>0</v>
      </c>
      <c r="O459" s="154">
        <f>M459*N459</f>
        <v>0</v>
      </c>
      <c r="P459" s="12"/>
      <c r="Q459" s="12"/>
      <c r="R459" s="12"/>
      <c r="S459" s="12"/>
      <c r="T459" s="12"/>
      <c r="U459" s="12"/>
      <c r="V459" s="12"/>
      <c r="W459" s="12"/>
      <c r="X459" s="12"/>
      <c r="Y459" s="129">
        <f>'Rate Tables'!$P$20</f>
        <v>928.2</v>
      </c>
      <c r="Z459" s="146">
        <f>U453*V453*F453</f>
        <v>10</v>
      </c>
      <c r="AA459" s="125">
        <f>Y459*Z459</f>
        <v>9282</v>
      </c>
      <c r="AB459" s="12"/>
      <c r="AC459" s="12"/>
      <c r="AD459" s="12"/>
      <c r="AE459" s="12"/>
      <c r="AF459" s="12"/>
      <c r="AG459" s="12"/>
      <c r="AH459" s="12"/>
      <c r="AI459" s="12"/>
      <c r="AJ459" s="129">
        <f>'Rate Tables'!$P$21</f>
        <v>946.76</v>
      </c>
      <c r="AK459" s="146">
        <f>AG453*AH453*F453</f>
        <v>2</v>
      </c>
      <c r="AL459" s="125">
        <f>AJ459*AK459</f>
        <v>1893.52</v>
      </c>
      <c r="AM459" s="11"/>
      <c r="AN459" s="12"/>
      <c r="AO459" s="12"/>
      <c r="AP459" s="12"/>
      <c r="AQ459" s="12"/>
      <c r="AR459" s="12"/>
      <c r="AS459" s="12"/>
      <c r="AT459" s="12"/>
      <c r="AU459" s="129">
        <f>'Rate Tables'!$P$22</f>
        <v>965.7</v>
      </c>
      <c r="AV459" s="146">
        <f>AR453*AS453*F453</f>
        <v>0</v>
      </c>
      <c r="AW459" s="125">
        <f>AU459*AV459</f>
        <v>0</v>
      </c>
      <c r="AX459" s="11"/>
      <c r="AY459" s="12"/>
      <c r="AZ459" s="12"/>
      <c r="BA459" s="12"/>
      <c r="BB459" s="12"/>
      <c r="BC459" s="12"/>
      <c r="BD459" s="12"/>
      <c r="BE459" s="12"/>
      <c r="BF459" s="129">
        <f>'Rate Tables'!$P$23</f>
        <v>985.01</v>
      </c>
      <c r="BG459" s="146">
        <f>BC453*BD453*F453</f>
        <v>0</v>
      </c>
      <c r="BH459" s="125">
        <f>BF459*BG459</f>
        <v>0</v>
      </c>
      <c r="BI459" s="19">
        <f>VLOOKUP(B411,'Lookup Tables'!$AK$22:$AM$24,3,0)</f>
        <v>1</v>
      </c>
      <c r="BJ459" s="12"/>
      <c r="BK459" s="307"/>
      <c r="BL459" s="125"/>
      <c r="BM459" s="12"/>
      <c r="BN459" s="275"/>
      <c r="BO459" s="12" t="s">
        <v>417</v>
      </c>
    </row>
    <row r="460" spans="1:67" x14ac:dyDescent="0.25">
      <c r="A460" s="145"/>
      <c r="B460" s="12"/>
      <c r="C460" s="12"/>
      <c r="D460" s="12"/>
      <c r="E460" s="12"/>
      <c r="F460" s="12"/>
      <c r="G460" s="818" t="s">
        <v>665</v>
      </c>
      <c r="H460" s="11">
        <f>IF(H463&lt;$C$5,H463,$C$5)</f>
        <v>12</v>
      </c>
      <c r="I460" s="178">
        <f>IF(B463&lt;=H463,B463,H463)</f>
        <v>0</v>
      </c>
      <c r="J460" s="12"/>
      <c r="K460" s="12"/>
      <c r="L460" s="12"/>
      <c r="M460" s="129">
        <f>'Rate Tables'!$P$20</f>
        <v>928.2</v>
      </c>
      <c r="N460" s="146">
        <f>(K455*L455)*F455</f>
        <v>0</v>
      </c>
      <c r="O460" s="154">
        <f>M460*N460</f>
        <v>0</v>
      </c>
      <c r="P460" s="12"/>
      <c r="Q460" s="12"/>
      <c r="R460" s="12"/>
      <c r="S460" s="12"/>
      <c r="T460" s="12"/>
      <c r="U460" s="12"/>
      <c r="V460" s="12"/>
      <c r="W460" s="12"/>
      <c r="X460" s="12"/>
      <c r="Y460" s="129">
        <f>'Rate Tables'!$P$21</f>
        <v>946.76</v>
      </c>
      <c r="Z460" s="146">
        <f>U455*V455*F455</f>
        <v>0</v>
      </c>
      <c r="AA460" s="125">
        <f>Y460*Z460</f>
        <v>0</v>
      </c>
      <c r="AB460" s="12"/>
      <c r="AC460" s="12"/>
      <c r="AD460" s="12"/>
      <c r="AE460" s="12"/>
      <c r="AF460" s="12"/>
      <c r="AG460" s="12"/>
      <c r="AH460" s="12"/>
      <c r="AI460" s="12"/>
      <c r="AJ460" s="129">
        <f>'Rate Tables'!$P$22</f>
        <v>965.7</v>
      </c>
      <c r="AK460" s="146">
        <f>AG455*AH455*F455</f>
        <v>0</v>
      </c>
      <c r="AL460" s="125">
        <f>AJ460*AK460</f>
        <v>0</v>
      </c>
      <c r="AM460" s="12"/>
      <c r="AN460" s="12"/>
      <c r="AO460" s="12"/>
      <c r="AP460" s="12"/>
      <c r="AQ460" s="12"/>
      <c r="AR460" s="12"/>
      <c r="AS460" s="12"/>
      <c r="AT460" s="12"/>
      <c r="AU460" s="129">
        <f>'Rate Tables'!$P$23</f>
        <v>985.01</v>
      </c>
      <c r="AV460" s="146">
        <f>AR455*AS455*F455</f>
        <v>0</v>
      </c>
      <c r="AW460" s="125">
        <f>AU460*AV460</f>
        <v>0</v>
      </c>
      <c r="AX460" s="11"/>
      <c r="AY460" s="12"/>
      <c r="AZ460" s="12"/>
      <c r="BA460" s="12"/>
      <c r="BB460" s="12"/>
      <c r="BC460" s="12"/>
      <c r="BD460" s="12"/>
      <c r="BE460" s="12"/>
      <c r="BF460" s="129">
        <f>'Rate Tables'!$P$24</f>
        <v>1004.71</v>
      </c>
      <c r="BG460" s="146">
        <f>BC455*BD455*F455</f>
        <v>0</v>
      </c>
      <c r="BH460" s="125">
        <f>BF460*BG460</f>
        <v>0</v>
      </c>
      <c r="BI460" s="12" t="s">
        <v>244</v>
      </c>
      <c r="BJ460" s="12"/>
      <c r="BK460" s="307"/>
      <c r="BL460" s="12"/>
      <c r="BM460" s="12"/>
      <c r="BN460" s="275"/>
      <c r="BO460" s="12">
        <f>(BN461+BN462)*BO458</f>
        <v>0</v>
      </c>
    </row>
    <row r="461" spans="1:67" x14ac:dyDescent="0.25">
      <c r="A461" s="377" t="s">
        <v>431</v>
      </c>
      <c r="B461" s="375" t="str">
        <f>Personnel!U98</f>
        <v>YES</v>
      </c>
      <c r="C461" s="12"/>
      <c r="D461" s="12"/>
      <c r="E461" s="12"/>
      <c r="F461" s="12"/>
      <c r="G461" s="818" t="s">
        <v>559</v>
      </c>
      <c r="H461" s="12">
        <f>BK432</f>
        <v>0</v>
      </c>
      <c r="I461" s="12"/>
      <c r="J461" s="12"/>
      <c r="K461" s="12"/>
      <c r="L461" s="12"/>
      <c r="M461" s="12"/>
      <c r="N461" s="12"/>
      <c r="O461" s="155"/>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f>IF(BN461&gt;=1,1,0)</f>
        <v>0</v>
      </c>
      <c r="BJ461" s="12"/>
      <c r="BK461" s="227"/>
      <c r="BL461" s="226"/>
      <c r="BM461" s="278" t="s">
        <v>96</v>
      </c>
      <c r="BN461" s="277">
        <f>BN413+BN430+BN447</f>
        <v>0</v>
      </c>
      <c r="BO461" s="15"/>
    </row>
    <row r="462" spans="1:67" ht="15.75" thickBot="1" x14ac:dyDescent="0.3">
      <c r="A462" s="296" t="s">
        <v>439</v>
      </c>
      <c r="B462" s="114" t="s">
        <v>427</v>
      </c>
      <c r="C462" s="12"/>
      <c r="D462" s="12"/>
      <c r="E462" s="12"/>
      <c r="F462" s="12"/>
      <c r="G462" s="818" t="s">
        <v>560</v>
      </c>
      <c r="H462" s="178">
        <f>VLOOKUP(H449,'Lookup Tables'!$L$62:$Y$74,MATCH(G449,'Lookup Tables'!$L$62:$Y$62,FALSE))</f>
        <v>65</v>
      </c>
      <c r="I462" s="12"/>
      <c r="J462" s="12"/>
      <c r="K462" s="12"/>
      <c r="L462" s="12"/>
      <c r="M462" s="12"/>
      <c r="N462" s="12"/>
      <c r="O462" s="155"/>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227"/>
      <c r="BL462" s="224"/>
      <c r="BM462" s="278" t="s">
        <v>415</v>
      </c>
      <c r="BN462" s="277">
        <f>BN415+BN431+BN449</f>
        <v>0</v>
      </c>
      <c r="BO462" s="15"/>
    </row>
    <row r="463" spans="1:67" ht="15.75" thickBot="1" x14ac:dyDescent="0.3">
      <c r="A463" s="380">
        <f>Personnel!U99</f>
        <v>0</v>
      </c>
      <c r="B463" s="273">
        <f>Personnel!U100</f>
        <v>0</v>
      </c>
      <c r="C463" s="12"/>
      <c r="D463" s="12"/>
      <c r="E463" s="12"/>
      <c r="F463" s="12"/>
      <c r="G463" s="818" t="s">
        <v>555</v>
      </c>
      <c r="H463" s="175">
        <f>VLOOKUP($E$4,'Lookup Tables'!$L$46:$AA$58,MATCH($H$415,'Lookup Tables'!$L$46:$X$46),FALSE)</f>
        <v>12</v>
      </c>
      <c r="I463" s="12"/>
      <c r="J463" s="12"/>
      <c r="K463" s="12"/>
      <c r="L463" s="12"/>
      <c r="M463" s="12"/>
      <c r="N463" s="12"/>
      <c r="O463" s="155"/>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227"/>
      <c r="BL463" s="224"/>
      <c r="BM463" s="278" t="s">
        <v>185</v>
      </c>
      <c r="BN463" s="285">
        <f>(BN417+BN433+BN451)*BI461</f>
        <v>0</v>
      </c>
      <c r="BO463" s="373">
        <f>BN461+BN462+BN463+BO460</f>
        <v>0</v>
      </c>
    </row>
    <row r="464" spans="1:67" ht="15.75" thickBot="1" x14ac:dyDescent="0.3">
      <c r="A464" s="148"/>
      <c r="B464" s="149"/>
      <c r="C464" s="149"/>
      <c r="D464" s="149"/>
      <c r="E464" s="149"/>
      <c r="F464" s="149"/>
      <c r="G464" s="149"/>
      <c r="H464" s="149"/>
      <c r="I464" s="149"/>
      <c r="J464" s="149"/>
      <c r="K464" s="149"/>
      <c r="L464" s="149"/>
      <c r="M464" s="149"/>
      <c r="N464" s="149"/>
      <c r="O464" s="149"/>
      <c r="P464" s="149"/>
      <c r="Q464" s="149"/>
      <c r="R464" s="149"/>
      <c r="S464" s="149"/>
      <c r="T464" s="149"/>
      <c r="U464" s="149"/>
      <c r="V464" s="149"/>
      <c r="W464" s="149"/>
      <c r="X464" s="149"/>
      <c r="Y464" s="149"/>
      <c r="Z464" s="149"/>
      <c r="AA464" s="149"/>
      <c r="AB464" s="149"/>
      <c r="AC464" s="149"/>
      <c r="AD464" s="149"/>
      <c r="AE464" s="149"/>
      <c r="AF464" s="149"/>
      <c r="AG464" s="149"/>
      <c r="AH464" s="149"/>
      <c r="AI464" s="149"/>
      <c r="AJ464" s="149"/>
      <c r="AK464" s="149"/>
      <c r="AL464" s="149"/>
      <c r="AM464" s="149"/>
      <c r="AN464" s="149"/>
      <c r="AO464" s="149"/>
      <c r="AP464" s="149"/>
      <c r="AQ464" s="149"/>
      <c r="AR464" s="149"/>
      <c r="AS464" s="149"/>
      <c r="AT464" s="149"/>
      <c r="AU464" s="149"/>
      <c r="AV464" s="149"/>
      <c r="AW464" s="149"/>
      <c r="AX464" s="149"/>
      <c r="AY464" s="149"/>
      <c r="AZ464" s="149"/>
      <c r="BA464" s="149"/>
      <c r="BB464" s="149"/>
      <c r="BC464" s="149"/>
      <c r="BD464" s="149"/>
      <c r="BE464" s="149"/>
      <c r="BF464" s="149"/>
      <c r="BG464" s="149"/>
      <c r="BH464" s="149"/>
      <c r="BI464" s="149"/>
      <c r="BJ464" s="149"/>
      <c r="BK464" s="280"/>
      <c r="BL464" s="149"/>
      <c r="BM464" s="149"/>
      <c r="BN464" s="281"/>
      <c r="BO464" s="374"/>
    </row>
    <row r="465" spans="1:67" ht="19.5" thickBot="1" x14ac:dyDescent="0.35">
      <c r="A465" s="264" t="s">
        <v>449</v>
      </c>
      <c r="B465" s="262"/>
      <c r="C465" s="262"/>
      <c r="D465" s="262"/>
      <c r="E465" s="262"/>
      <c r="F465" s="262"/>
      <c r="G465" s="262"/>
      <c r="H465" s="262"/>
      <c r="I465" s="262"/>
      <c r="J465" s="262"/>
      <c r="K465" s="262"/>
      <c r="L465" s="262"/>
      <c r="M465" s="262"/>
      <c r="N465" s="262"/>
      <c r="O465" s="262"/>
      <c r="P465" s="262"/>
      <c r="Q465" s="262"/>
      <c r="R465" s="262"/>
      <c r="S465" s="262"/>
      <c r="T465" s="262"/>
      <c r="U465" s="262"/>
      <c r="V465" s="262"/>
      <c r="W465" s="262"/>
      <c r="X465" s="262"/>
      <c r="Y465" s="262"/>
      <c r="Z465" s="262"/>
      <c r="AA465" s="262"/>
      <c r="AB465" s="262"/>
      <c r="AC465" s="262"/>
      <c r="AD465" s="262"/>
      <c r="AE465" s="262"/>
      <c r="AF465" s="262"/>
      <c r="AG465" s="262"/>
      <c r="AH465" s="262"/>
      <c r="AI465" s="262"/>
      <c r="AJ465" s="262"/>
      <c r="AK465" s="262"/>
      <c r="AL465" s="262"/>
      <c r="AM465" s="262"/>
      <c r="AN465" s="262"/>
      <c r="AO465" s="262"/>
      <c r="AP465" s="262"/>
      <c r="AQ465" s="262"/>
      <c r="AR465" s="262"/>
      <c r="AS465" s="262"/>
      <c r="AT465" s="262"/>
      <c r="AU465" s="262"/>
      <c r="AV465" s="262"/>
      <c r="AW465" s="262"/>
      <c r="AX465" s="262"/>
      <c r="AY465" s="262"/>
      <c r="AZ465" s="262"/>
      <c r="BA465" s="262"/>
      <c r="BB465" s="262"/>
      <c r="BC465" s="262"/>
      <c r="BD465" s="262"/>
      <c r="BE465" s="262"/>
      <c r="BF465" s="262"/>
      <c r="BG465" s="262"/>
      <c r="BH465" s="262"/>
      <c r="BI465" s="262"/>
      <c r="BJ465" s="262"/>
      <c r="BK465" s="310"/>
      <c r="BL465" s="262"/>
      <c r="BM465" s="262"/>
      <c r="BN465" s="262"/>
      <c r="BO465" s="262"/>
    </row>
    <row r="466" spans="1:67" x14ac:dyDescent="0.25">
      <c r="A466" s="257" t="s">
        <v>419</v>
      </c>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4"/>
      <c r="AL466" s="144"/>
      <c r="AM466" s="144"/>
      <c r="AN466" s="144"/>
      <c r="AO466" s="144"/>
      <c r="AP466" s="144"/>
      <c r="AQ466" s="144"/>
      <c r="AR466" s="144"/>
      <c r="AS466" s="144"/>
      <c r="AT466" s="144"/>
      <c r="AU466" s="144"/>
      <c r="AV466" s="144"/>
      <c r="AW466" s="144"/>
      <c r="AX466" s="144"/>
      <c r="AY466" s="144"/>
      <c r="AZ466" s="144"/>
      <c r="BA466" s="144"/>
      <c r="BB466" s="144"/>
      <c r="BC466" s="144"/>
      <c r="BD466" s="144"/>
      <c r="BE466" s="144"/>
      <c r="BF466" s="144"/>
      <c r="BG466" s="144"/>
      <c r="BH466" s="144"/>
      <c r="BI466" s="144"/>
      <c r="BJ466" s="144"/>
      <c r="BK466" s="282"/>
      <c r="BL466" s="144"/>
      <c r="BM466" s="144"/>
      <c r="BN466" s="283"/>
      <c r="BO466" s="12" t="s">
        <v>418</v>
      </c>
    </row>
    <row r="467" spans="1:67" ht="15.75" thickBot="1" x14ac:dyDescent="0.3">
      <c r="A467" s="377" t="s">
        <v>515</v>
      </c>
      <c r="B467" s="155" t="s">
        <v>420</v>
      </c>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306" t="s">
        <v>421</v>
      </c>
      <c r="BL467" s="401">
        <f>Personnel!W107</f>
        <v>0</v>
      </c>
      <c r="BM467" s="278" t="s">
        <v>422</v>
      </c>
      <c r="BN467" s="277">
        <f>A468*B468*BL467</f>
        <v>0</v>
      </c>
      <c r="BO467" s="372">
        <f>VLOOKUP('F&amp;ARatesCalc'!$B$1,'F&amp;ARatesCalc'!$A$3:$C$5,3,FALSE)</f>
        <v>1.57</v>
      </c>
    </row>
    <row r="468" spans="1:67" ht="15.75" thickBot="1" x14ac:dyDescent="0.3">
      <c r="A468" s="378">
        <f>Personnel!U106</f>
        <v>0</v>
      </c>
      <c r="B468" s="376">
        <f>Personnel!U107</f>
        <v>0</v>
      </c>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227"/>
      <c r="BL468" s="12"/>
      <c r="BM468" s="278" t="s">
        <v>423</v>
      </c>
      <c r="BN468" s="277">
        <f>BN467*'Rate Tables'!$P$7</f>
        <v>0</v>
      </c>
      <c r="BO468" s="379">
        <f>(BN467+BN468)*BO467</f>
        <v>0</v>
      </c>
    </row>
    <row r="469" spans="1:67" ht="15.75" thickBot="1" x14ac:dyDescent="0.3">
      <c r="A469" s="148"/>
      <c r="B469" s="149"/>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49"/>
      <c r="AL469" s="149"/>
      <c r="AM469" s="149"/>
      <c r="AN469" s="149"/>
      <c r="AO469" s="149"/>
      <c r="AP469" s="149"/>
      <c r="AQ469" s="149"/>
      <c r="AR469" s="149"/>
      <c r="AS469" s="149"/>
      <c r="AT469" s="149"/>
      <c r="AU469" s="149"/>
      <c r="AV469" s="149"/>
      <c r="AW469" s="149"/>
      <c r="AX469" s="149"/>
      <c r="AY469" s="149"/>
      <c r="AZ469" s="149"/>
      <c r="BA469" s="149"/>
      <c r="BB469" s="149"/>
      <c r="BC469" s="149"/>
      <c r="BD469" s="149"/>
      <c r="BE469" s="149"/>
      <c r="BF469" s="149"/>
      <c r="BG469" s="149"/>
      <c r="BH469" s="149"/>
      <c r="BI469" s="149"/>
      <c r="BJ469" s="149"/>
      <c r="BK469" s="280"/>
      <c r="BL469" s="149"/>
      <c r="BM469" s="149"/>
      <c r="BN469" s="281"/>
      <c r="BO469" s="374"/>
    </row>
    <row r="470" spans="1:67" x14ac:dyDescent="0.25">
      <c r="A470" s="257" t="s">
        <v>424</v>
      </c>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4"/>
      <c r="AL470" s="144"/>
      <c r="AM470" s="144"/>
      <c r="AN470" s="144"/>
      <c r="AO470" s="144"/>
      <c r="AP470" s="144"/>
      <c r="AQ470" s="144"/>
      <c r="AR470" s="144"/>
      <c r="AS470" s="144"/>
      <c r="AT470" s="144"/>
      <c r="AU470" s="144"/>
      <c r="AV470" s="144"/>
      <c r="AW470" s="144"/>
      <c r="AX470" s="144"/>
      <c r="AY470" s="144"/>
      <c r="AZ470" s="144"/>
      <c r="BA470" s="144"/>
      <c r="BB470" s="144"/>
      <c r="BC470" s="144"/>
      <c r="BD470" s="144"/>
      <c r="BE470" s="144"/>
      <c r="BF470" s="144"/>
      <c r="BG470" s="144"/>
      <c r="BH470" s="144"/>
      <c r="BI470" s="144"/>
      <c r="BJ470" s="144"/>
      <c r="BK470" s="282"/>
      <c r="BL470" s="144"/>
      <c r="BM470" s="144"/>
      <c r="BN470" s="283"/>
      <c r="BO470" s="12" t="s">
        <v>418</v>
      </c>
    </row>
    <row r="471" spans="1:67" ht="15.75" thickBot="1" x14ac:dyDescent="0.3">
      <c r="A471" s="377" t="s">
        <v>515</v>
      </c>
      <c r="B471" s="155" t="s">
        <v>420</v>
      </c>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306" t="s">
        <v>421</v>
      </c>
      <c r="BL471" s="401">
        <f>Personnel!W111</f>
        <v>0</v>
      </c>
      <c r="BM471" s="278" t="s">
        <v>422</v>
      </c>
      <c r="BN471" s="277">
        <f>A472*B472*BL471</f>
        <v>0</v>
      </c>
      <c r="BO471" s="372">
        <f>VLOOKUP('F&amp;ARatesCalc'!$B$1,'F&amp;ARatesCalc'!$A$3:$C$5,3,FALSE)</f>
        <v>1.57</v>
      </c>
    </row>
    <row r="472" spans="1:67" ht="15.75" thickBot="1" x14ac:dyDescent="0.3">
      <c r="A472" s="378">
        <f>Personnel!U110</f>
        <v>0</v>
      </c>
      <c r="B472" s="376">
        <f>Personnel!U111</f>
        <v>0</v>
      </c>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227"/>
      <c r="BL472" s="12"/>
      <c r="BM472" s="278" t="s">
        <v>423</v>
      </c>
      <c r="BN472" s="277">
        <f>BN471*'Rate Tables'!$P$7</f>
        <v>0</v>
      </c>
      <c r="BO472" s="379">
        <f>(BN471+BN472)*BO471</f>
        <v>0</v>
      </c>
    </row>
    <row r="473" spans="1:67" ht="15.75" thickBot="1" x14ac:dyDescent="0.3">
      <c r="A473" s="148"/>
      <c r="B473" s="149"/>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49"/>
      <c r="AL473" s="149"/>
      <c r="AM473" s="149"/>
      <c r="AN473" s="149"/>
      <c r="AO473" s="149"/>
      <c r="AP473" s="149"/>
      <c r="AQ473" s="149"/>
      <c r="AR473" s="149"/>
      <c r="AS473" s="149"/>
      <c r="AT473" s="149"/>
      <c r="AU473" s="149"/>
      <c r="AV473" s="149"/>
      <c r="AW473" s="149"/>
      <c r="AX473" s="149"/>
      <c r="AY473" s="149"/>
      <c r="AZ473" s="149"/>
      <c r="BA473" s="149"/>
      <c r="BB473" s="149"/>
      <c r="BC473" s="149"/>
      <c r="BD473" s="149"/>
      <c r="BE473" s="149"/>
      <c r="BF473" s="149"/>
      <c r="BG473" s="149"/>
      <c r="BH473" s="149"/>
      <c r="BI473" s="149"/>
      <c r="BJ473" s="149"/>
      <c r="BK473" s="280"/>
      <c r="BL473" s="149"/>
      <c r="BM473" s="149"/>
      <c r="BN473" s="281"/>
      <c r="BO473" s="374"/>
    </row>
    <row r="474" spans="1:67" x14ac:dyDescent="0.25">
      <c r="A474" s="257" t="s">
        <v>425</v>
      </c>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4"/>
      <c r="AL474" s="144"/>
      <c r="AM474" s="144"/>
      <c r="AN474" s="144"/>
      <c r="AO474" s="144"/>
      <c r="AP474" s="144"/>
      <c r="AQ474" s="144"/>
      <c r="AR474" s="144"/>
      <c r="AS474" s="144"/>
      <c r="AT474" s="144"/>
      <c r="AU474" s="144"/>
      <c r="AV474" s="144"/>
      <c r="AW474" s="144"/>
      <c r="AX474" s="144"/>
      <c r="AY474" s="144"/>
      <c r="AZ474" s="144"/>
      <c r="BA474" s="144"/>
      <c r="BB474" s="144"/>
      <c r="BC474" s="144"/>
      <c r="BD474" s="144"/>
      <c r="BE474" s="144"/>
      <c r="BF474" s="144"/>
      <c r="BG474" s="144"/>
      <c r="BH474" s="144"/>
      <c r="BI474" s="144"/>
      <c r="BJ474" s="144"/>
      <c r="BK474" s="282"/>
      <c r="BL474" s="144"/>
      <c r="BM474" s="144"/>
      <c r="BN474" s="283"/>
      <c r="BO474" s="12" t="s">
        <v>418</v>
      </c>
    </row>
    <row r="475" spans="1:67" ht="15.75" thickBot="1" x14ac:dyDescent="0.3">
      <c r="A475" s="377" t="s">
        <v>515</v>
      </c>
      <c r="B475" s="155" t="s">
        <v>420</v>
      </c>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306" t="s">
        <v>421</v>
      </c>
      <c r="BL475" s="401">
        <f>Personnel!W115</f>
        <v>0</v>
      </c>
      <c r="BM475" s="278" t="s">
        <v>422</v>
      </c>
      <c r="BN475" s="277">
        <f>A476*B476*BL475</f>
        <v>0</v>
      </c>
      <c r="BO475" s="372">
        <f>VLOOKUP('F&amp;ARatesCalc'!$B$1,'F&amp;ARatesCalc'!$A$3:$C$5,3,FALSE)</f>
        <v>1.57</v>
      </c>
    </row>
    <row r="476" spans="1:67" ht="15.75" thickBot="1" x14ac:dyDescent="0.3">
      <c r="A476" s="378">
        <f>Personnel!U114</f>
        <v>0</v>
      </c>
      <c r="B476" s="376">
        <f>Personnel!U115</f>
        <v>0</v>
      </c>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227"/>
      <c r="BL476" s="12"/>
      <c r="BM476" s="278" t="s">
        <v>423</v>
      </c>
      <c r="BN476" s="277">
        <f>BN475*'Rate Tables'!$P$7</f>
        <v>0</v>
      </c>
      <c r="BO476" s="379">
        <f>(BN475+BN476)*BO475</f>
        <v>0</v>
      </c>
    </row>
    <row r="477" spans="1:67" ht="15.75" thickBot="1" x14ac:dyDescent="0.3">
      <c r="A477" s="148"/>
      <c r="B477" s="149"/>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49"/>
      <c r="AL477" s="149"/>
      <c r="AM477" s="149"/>
      <c r="AN477" s="149"/>
      <c r="AO477" s="149"/>
      <c r="AP477" s="149"/>
      <c r="AQ477" s="149"/>
      <c r="AR477" s="149"/>
      <c r="AS477" s="149"/>
      <c r="AT477" s="149"/>
      <c r="AU477" s="149"/>
      <c r="AV477" s="149"/>
      <c r="AW477" s="149"/>
      <c r="AX477" s="149"/>
      <c r="AY477" s="149"/>
      <c r="AZ477" s="149"/>
      <c r="BA477" s="149"/>
      <c r="BB477" s="149"/>
      <c r="BC477" s="149"/>
      <c r="BD477" s="149"/>
      <c r="BE477" s="149"/>
      <c r="BF477" s="149"/>
      <c r="BG477" s="149"/>
      <c r="BH477" s="149"/>
      <c r="BI477" s="149"/>
      <c r="BJ477" s="149"/>
      <c r="BK477" s="280"/>
      <c r="BL477" s="149"/>
      <c r="BM477" s="149"/>
      <c r="BN477" s="281"/>
      <c r="BO477" s="374"/>
    </row>
    <row r="478" spans="1:67"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304"/>
      <c r="BL478" s="11"/>
      <c r="BM478" s="11"/>
      <c r="BN478" s="11"/>
      <c r="BO478" s="11"/>
    </row>
  </sheetData>
  <sheetProtection algorithmName="SHA-512" hashValue="ma117gy4d4pz0jQWaWrZ/NkTKnd3gP5IFldejE2lBwQA/ab8kU5lXCK5RpIJM6LwPhBRzZEVVB/pHmEmYUjjXw==" saltValue="F6l5ew2he+qH9/5pfXL08w==" spinCount="100000" sheet="1" objects="1" scenarios="1"/>
  <mergeCells count="8">
    <mergeCell ref="BK365:BK370"/>
    <mergeCell ref="BK417:BK422"/>
    <mergeCell ref="A1:D1"/>
    <mergeCell ref="AM1:BN2"/>
    <mergeCell ref="A2:C2"/>
    <mergeCell ref="BK208:BK213"/>
    <mergeCell ref="BK261:BK266"/>
    <mergeCell ref="BK313:BK318"/>
  </mergeCells>
  <dataValidations count="7">
    <dataValidation type="list" allowBlank="1" showInputMessage="1" showErrorMessage="1" sqref="C4" xr:uid="{00000000-0002-0000-0600-000000000000}">
      <formula1>"Jan, Feb, Mar, Apr, May, June, July, Aug, Sept, Oct, Nov, Dec"</formula1>
    </dataValidation>
    <dataValidation type="list" allowBlank="1" showInputMessage="1" showErrorMessage="1" sqref="B202 B255 B307 B359 B411" xr:uid="{00000000-0002-0000-0600-000001000000}">
      <formula1>"9 Month, 12 Month"</formula1>
    </dataValidation>
    <dataValidation type="whole" operator="lessThan" allowBlank="1" showInputMessage="1" showErrorMessage="1" errorTitle="Summer Effort Exceeds Limit" error="Summer Effort cannot exceed 65 days._x000a_" sqref="BL19 BL43 BL67 BL115 BL91" xr:uid="{00000000-0002-0000-0600-000002000000}">
      <formula1>66</formula1>
    </dataValidation>
    <dataValidation type="whole" operator="lessThan" allowBlank="1" showInputMessage="1" showErrorMessage="1" errorTitle="Cannot exceed 11 months" error="If starting after the start month of the project, months paid for this person cannot exceed 11 and shoul dnot extend past end month of project." sqref="B54" xr:uid="{00000000-0002-0000-0600-000003000000}">
      <formula1>12</formula1>
    </dataValidation>
    <dataValidation type="whole" operator="lessThan" allowBlank="1" showErrorMessage="1" errorTitle="Cannot exceed 11 months" error="If starting after the start month of the project, months paid for this person cannot exceed 11 and should not extend past end month of project._x000a_" promptTitle="Cannot exceed 11 months" prompt="If starting after the start month of the project, months paid cannot exceed 11 and should not extend past end month of project._x000a_" sqref="B30" xr:uid="{00000000-0002-0000-0600-000004000000}">
      <formula1>C5</formula1>
    </dataValidation>
    <dataValidation type="whole" operator="lessThan" allowBlank="1" showInputMessage="1" showErrorMessage="1" errorTitle="Cannot exceed 11 months" error="If starting after the start month of the project, months paid jfor this person cannot exceed 11 and should not extend past end month of project." sqref="B78" xr:uid="{00000000-0002-0000-0600-000005000000}">
      <formula1>12</formula1>
    </dataValidation>
    <dataValidation type="whole" operator="lessThan" allowBlank="1" showInputMessage="1" showErrorMessage="1" errorTitle="Cannot exceed 11 months" error="If starting after the start month of the project, months paid for this person cannot exceed 11 and should not extend past end month of project." sqref="B102 B142 B126 B156 B170 B184 B198 B253 B305 B357 B409 B463" xr:uid="{00000000-0002-0000-0600-000006000000}">
      <formula1>12</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7000000}">
          <x14:formula1>
            <xm:f>'Lookup Tables'!$AF$22:$AF$24</xm:f>
          </x14:formula1>
          <xm:sqref>BL221</xm:sqref>
        </x14:dataValidation>
        <x14:dataValidation type="list" allowBlank="1" showInputMessage="1" showErrorMessage="1" xr:uid="{00000000-0002-0000-0600-000008000000}">
          <x14:formula1>
            <xm:f>'Lookup Tables'!$AK$28:$AK$29</xm:f>
          </x14:formula1>
          <xm:sqref>B19 B43 B461 B91 B115 B140 B154 B168 B182 B196 B250:B251 B303 B355 B407</xm:sqref>
        </x14:dataValidation>
        <x14:dataValidation type="list" showInputMessage="1" showErrorMessage="1" xr:uid="{00000000-0002-0000-0600-000009000000}">
          <x14:formula1>
            <xm:f>'Rate Tables'!$O$2:$O$7</xm:f>
          </x14:formula1>
          <xm:sqref>B131 B105 B81 B57 B33 B187 B173 B159 B145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7" tint="0.59999389629810485"/>
  </sheetPr>
  <dimension ref="A1:AC97"/>
  <sheetViews>
    <sheetView zoomScale="80" zoomScaleNormal="80" workbookViewId="0">
      <pane ySplit="5" topLeftCell="A6" activePane="bottomLeft" state="frozen"/>
      <selection pane="bottomLeft" activeCell="D8" sqref="D8"/>
    </sheetView>
  </sheetViews>
  <sheetFormatPr defaultRowHeight="15" x14ac:dyDescent="0.25"/>
  <cols>
    <col min="1" max="1" width="5.7109375" customWidth="1"/>
    <col min="2" max="2" width="20" customWidth="1"/>
    <col min="3" max="3" width="37.140625" customWidth="1"/>
    <col min="4" max="4" width="13.140625" style="412" customWidth="1"/>
    <col min="5" max="5" width="15" style="437" customWidth="1"/>
    <col min="6" max="6" width="15.7109375" style="265" customWidth="1"/>
    <col min="7" max="7" width="20.7109375" style="413" customWidth="1"/>
    <col min="8" max="8" width="23" style="412" customWidth="1"/>
    <col min="9" max="9" width="1.85546875" customWidth="1"/>
    <col min="10" max="10" width="5.7109375" customWidth="1"/>
    <col min="11" max="11" width="20" customWidth="1"/>
    <col min="12" max="12" width="37.140625" customWidth="1"/>
    <col min="13" max="13" width="13.28515625" customWidth="1"/>
    <col min="14" max="14" width="15" customWidth="1"/>
    <col min="15" max="15" width="15.7109375" customWidth="1"/>
    <col min="16" max="17" width="20.7109375" customWidth="1"/>
    <col min="18" max="18" width="1.85546875" customWidth="1"/>
    <col min="19" max="19" width="5.7109375" customWidth="1"/>
    <col min="20" max="20" width="20" customWidth="1"/>
    <col min="21" max="21" width="37.140625" customWidth="1"/>
    <col min="22" max="22" width="13.140625" customWidth="1"/>
    <col min="23" max="23" width="15" customWidth="1"/>
    <col min="24" max="24" width="15.7109375" customWidth="1"/>
    <col min="25" max="25" width="20.7109375" customWidth="1"/>
    <col min="26" max="26" width="22.85546875" customWidth="1"/>
    <col min="27" max="27" width="1.85546875" customWidth="1"/>
    <col min="28" max="28" width="14.7109375" customWidth="1"/>
    <col min="29" max="29" width="25.140625" customWidth="1"/>
  </cols>
  <sheetData>
    <row r="1" spans="1:29" ht="21.75" thickBot="1" x14ac:dyDescent="0.35">
      <c r="A1" s="724" t="s">
        <v>213</v>
      </c>
      <c r="B1" s="333"/>
      <c r="C1" s="333"/>
      <c r="D1" s="725" t="str">
        <f>"Period 1"&amp;":"&amp;" "&amp;C4&amp;" "&amp;"1,"&amp;" "&amp;C5&amp;"-"&amp;" "&amp;PersonCalcYr2!K4&amp;" "&amp;PersonCalcYr2!N4&amp;","&amp;" "&amp;PersonCalcYr2!M4</f>
        <v>Period 1: Sept 1, 2022- Aug 31, 2023</v>
      </c>
      <c r="E1" s="439"/>
      <c r="F1" s="334"/>
      <c r="G1" s="1051" t="s">
        <v>529</v>
      </c>
      <c r="H1" s="1049" t="str">
        <f>BudgetSummaryDetailed!G5</f>
        <v>RESEARCH</v>
      </c>
      <c r="J1" s="724"/>
      <c r="K1" s="333"/>
      <c r="L1" s="724" t="str">
        <f>"Period 2"&amp;":"&amp;" "&amp;L4&amp;" "&amp;"1,"&amp;" "&amp;L5&amp;"-"&amp;" "&amp;PersonCalcYr2!K5&amp;" "&amp;PersonCalcYr2!N5&amp;","&amp;" "&amp;PersonCalcYr2!M5</f>
        <v>Period 2: Sept 1, 2023- Aug 31, 2024</v>
      </c>
      <c r="M1" s="725"/>
      <c r="N1" s="439"/>
      <c r="O1" s="334"/>
      <c r="P1" s="334"/>
      <c r="Q1" s="440"/>
      <c r="S1" s="724"/>
      <c r="T1" s="333"/>
      <c r="U1" s="724" t="str">
        <f>"Period 3"&amp;":"&amp;" "&amp;U4&amp;" "&amp;"1,"&amp;" "&amp;U5&amp;"-"&amp;" "&amp;PersonCalcYr2!K6&amp;" "&amp;PersonCalcYr2!N6&amp;","&amp;" "&amp;PersonCalcYr2!M6</f>
        <v>Period 3: Sept 1, 2024- Aug 31, 2025</v>
      </c>
      <c r="V1" s="725"/>
      <c r="W1" s="439"/>
      <c r="X1" s="334"/>
      <c r="Y1" s="334"/>
      <c r="Z1" s="440"/>
      <c r="AB1" s="891" t="s">
        <v>696</v>
      </c>
      <c r="AC1" s="3"/>
    </row>
    <row r="2" spans="1:29" ht="16.5" thickBot="1" x14ac:dyDescent="0.3">
      <c r="A2" s="441" t="s">
        <v>711</v>
      </c>
      <c r="B2" s="442"/>
      <c r="C2" s="442"/>
      <c r="D2" s="728"/>
      <c r="E2" s="895"/>
      <c r="F2" s="896"/>
      <c r="G2" s="897"/>
      <c r="H2" s="898"/>
      <c r="I2" s="404"/>
      <c r="J2" s="726"/>
      <c r="K2" s="727"/>
      <c r="L2" s="727"/>
      <c r="M2" s="443"/>
      <c r="N2" s="439"/>
      <c r="O2" s="444"/>
      <c r="P2" s="445"/>
      <c r="Q2" s="446"/>
      <c r="S2" s="726"/>
      <c r="T2" s="727"/>
      <c r="U2" s="727"/>
      <c r="V2" s="443"/>
      <c r="W2" s="439"/>
      <c r="X2" s="444"/>
      <c r="Y2" s="445"/>
      <c r="Z2" s="446"/>
      <c r="AB2" s="901" t="s">
        <v>697</v>
      </c>
      <c r="AC2" s="892">
        <f>H3+Q3+Z3</f>
        <v>0</v>
      </c>
    </row>
    <row r="3" spans="1:29" ht="13.5" customHeight="1" thickBot="1" x14ac:dyDescent="0.35">
      <c r="A3" s="447"/>
      <c r="B3" s="448"/>
      <c r="C3" s="449"/>
      <c r="D3" s="450"/>
      <c r="E3" s="451"/>
      <c r="F3" s="1215" t="s">
        <v>454</v>
      </c>
      <c r="G3" s="1216"/>
      <c r="H3" s="452">
        <f>BudgetSummaryDetailed!H49:I49</f>
        <v>0</v>
      </c>
      <c r="I3" s="407"/>
      <c r="J3" s="447"/>
      <c r="K3" s="448"/>
      <c r="L3" s="449"/>
      <c r="M3" s="450"/>
      <c r="N3" s="451"/>
      <c r="O3" s="1215" t="s">
        <v>591</v>
      </c>
      <c r="P3" s="1216"/>
      <c r="Q3" s="452">
        <f>BudgetSummaryDetailed!S49</f>
        <v>0</v>
      </c>
      <c r="S3" s="447"/>
      <c r="T3" s="448"/>
      <c r="U3" s="449"/>
      <c r="V3" s="450"/>
      <c r="W3" s="451"/>
      <c r="X3" s="1215" t="s">
        <v>649</v>
      </c>
      <c r="Y3" s="1216"/>
      <c r="Z3" s="841">
        <f>BudgetSummaryDetailed!AD49</f>
        <v>0</v>
      </c>
      <c r="AB3" s="901" t="s">
        <v>698</v>
      </c>
      <c r="AC3" s="894">
        <f>H4+Q4+Z4</f>
        <v>0</v>
      </c>
    </row>
    <row r="4" spans="1:29" ht="14.25" customHeight="1" thickBot="1" x14ac:dyDescent="0.3">
      <c r="A4" s="638" t="s">
        <v>437</v>
      </c>
      <c r="B4" s="639" t="s">
        <v>14</v>
      </c>
      <c r="C4" s="453" t="str">
        <f>BudgetSummaryDetailed!H7</f>
        <v>Sept</v>
      </c>
      <c r="D4" s="1217" t="s">
        <v>18</v>
      </c>
      <c r="E4" s="1219">
        <f>BudgetSummaryDetailed!H8</f>
        <v>12</v>
      </c>
      <c r="F4" s="1215" t="s">
        <v>455</v>
      </c>
      <c r="G4" s="1216"/>
      <c r="H4" s="454">
        <f>BudgetSummaryDetailed!H50:I50</f>
        <v>0</v>
      </c>
      <c r="I4" s="408"/>
      <c r="J4" s="638" t="s">
        <v>437</v>
      </c>
      <c r="K4" s="639" t="s">
        <v>14</v>
      </c>
      <c r="L4" s="453" t="str">
        <f>BudgetSummaryDetailed!S7</f>
        <v>Sept</v>
      </c>
      <c r="M4" s="1221" t="s">
        <v>656</v>
      </c>
      <c r="N4" s="1219">
        <f>BudgetSummaryDetailed!S8</f>
        <v>12</v>
      </c>
      <c r="O4" s="1223" t="s">
        <v>592</v>
      </c>
      <c r="P4" s="1216"/>
      <c r="Q4" s="454">
        <f>BudgetSummaryDetailed!S50</f>
        <v>0</v>
      </c>
      <c r="S4" s="638" t="s">
        <v>437</v>
      </c>
      <c r="T4" s="639" t="s">
        <v>14</v>
      </c>
      <c r="U4" s="453" t="str">
        <f>BudgetSummaryDetailed!AD7</f>
        <v>Sept</v>
      </c>
      <c r="V4" s="1217" t="s">
        <v>657</v>
      </c>
      <c r="W4" s="1219">
        <f>BudgetSummaryDetailed!AD8</f>
        <v>12</v>
      </c>
      <c r="X4" s="1215" t="s">
        <v>650</v>
      </c>
      <c r="Y4" s="1216"/>
      <c r="Z4" s="842">
        <f>BudgetSummaryDetailed!AD50</f>
        <v>0</v>
      </c>
      <c r="AB4" s="901" t="s">
        <v>699</v>
      </c>
      <c r="AC4" s="893">
        <f>AC2+AC3</f>
        <v>0</v>
      </c>
    </row>
    <row r="5" spans="1:29" ht="14.25" customHeight="1" thickBot="1" x14ac:dyDescent="0.3">
      <c r="A5" s="640" t="s">
        <v>436</v>
      </c>
      <c r="B5" s="641" t="s">
        <v>15</v>
      </c>
      <c r="C5" s="468">
        <f>BudgetSummaryDetailed!I7</f>
        <v>2022</v>
      </c>
      <c r="D5" s="1218"/>
      <c r="E5" s="1220"/>
      <c r="F5" s="642"/>
      <c r="G5" s="643" t="s">
        <v>435</v>
      </c>
      <c r="H5" s="454">
        <f>BudgetSummaryDetailed!H51:I51</f>
        <v>0</v>
      </c>
      <c r="I5" s="408"/>
      <c r="J5" s="640" t="s">
        <v>436</v>
      </c>
      <c r="K5" s="641" t="s">
        <v>15</v>
      </c>
      <c r="L5" s="468">
        <f>BudgetSummaryDetailed!T7</f>
        <v>2023</v>
      </c>
      <c r="M5" s="1222"/>
      <c r="N5" s="1220"/>
      <c r="O5" s="813"/>
      <c r="P5" s="643" t="s">
        <v>593</v>
      </c>
      <c r="Q5" s="454">
        <f>BudgetSummaryDetailed!S51</f>
        <v>0</v>
      </c>
      <c r="S5" s="640" t="s">
        <v>436</v>
      </c>
      <c r="T5" s="641" t="s">
        <v>15</v>
      </c>
      <c r="U5" s="468">
        <f>BudgetSummaryDetailed!AE7</f>
        <v>2024</v>
      </c>
      <c r="V5" s="1218"/>
      <c r="W5" s="1220"/>
      <c r="X5" s="642"/>
      <c r="Y5" s="643" t="s">
        <v>651</v>
      </c>
      <c r="Z5" s="842">
        <f>BudgetSummaryDetailed!AD51</f>
        <v>0</v>
      </c>
    </row>
    <row r="6" spans="1:29" ht="7.5" customHeight="1" x14ac:dyDescent="0.25">
      <c r="A6" s="455"/>
      <c r="B6" s="455"/>
      <c r="C6" s="333"/>
      <c r="D6" s="438"/>
      <c r="E6" s="439"/>
      <c r="F6" s="334"/>
      <c r="G6" s="456"/>
      <c r="H6" s="438"/>
      <c r="J6" s="455"/>
      <c r="K6" s="455"/>
      <c r="L6" s="333"/>
      <c r="M6" s="438"/>
      <c r="N6" s="439"/>
      <c r="O6" s="334"/>
      <c r="P6" s="456"/>
      <c r="Q6" s="438"/>
      <c r="S6" s="455"/>
      <c r="T6" s="455"/>
      <c r="U6" s="333"/>
      <c r="V6" s="438"/>
      <c r="W6" s="439"/>
      <c r="X6" s="334"/>
      <c r="Y6" s="456"/>
      <c r="Z6" s="438"/>
    </row>
    <row r="7" spans="1:29" s="3" customFormat="1" ht="25.5" x14ac:dyDescent="0.25">
      <c r="A7" s="960" t="s">
        <v>408</v>
      </c>
      <c r="B7" s="771"/>
      <c r="C7" s="771"/>
      <c r="D7" s="646" t="s">
        <v>473</v>
      </c>
      <c r="E7" s="961" t="s">
        <v>474</v>
      </c>
      <c r="F7" s="962"/>
      <c r="G7" s="961" t="s">
        <v>217</v>
      </c>
      <c r="H7" s="645" t="s">
        <v>567</v>
      </c>
      <c r="I7" s="963"/>
      <c r="J7" s="960" t="s">
        <v>408</v>
      </c>
      <c r="K7" s="771"/>
      <c r="L7" s="771"/>
      <c r="M7" s="646" t="s">
        <v>473</v>
      </c>
      <c r="N7" s="961" t="s">
        <v>474</v>
      </c>
      <c r="O7" s="962"/>
      <c r="P7" s="961" t="s">
        <v>217</v>
      </c>
      <c r="Q7" s="645" t="s">
        <v>567</v>
      </c>
      <c r="R7" s="267"/>
      <c r="S7" s="960" t="s">
        <v>408</v>
      </c>
      <c r="T7" s="771"/>
      <c r="U7" s="771"/>
      <c r="V7" s="646" t="s">
        <v>473</v>
      </c>
      <c r="W7" s="961" t="s">
        <v>474</v>
      </c>
      <c r="X7" s="962"/>
      <c r="Y7" s="961" t="s">
        <v>217</v>
      </c>
      <c r="Z7" s="645" t="s">
        <v>567</v>
      </c>
    </row>
    <row r="8" spans="1:29" ht="12" customHeight="1" x14ac:dyDescent="0.25">
      <c r="A8" s="964">
        <v>1</v>
      </c>
      <c r="B8" s="1210" t="s">
        <v>221</v>
      </c>
      <c r="C8" s="915" t="s">
        <v>703</v>
      </c>
      <c r="D8" s="965">
        <v>0</v>
      </c>
      <c r="E8" s="966">
        <v>1</v>
      </c>
      <c r="F8" s="967">
        <f>D8*E8</f>
        <v>0</v>
      </c>
      <c r="G8" s="968"/>
      <c r="H8" s="969"/>
      <c r="I8" s="970"/>
      <c r="J8" s="964">
        <v>1</v>
      </c>
      <c r="K8" s="1209" t="s">
        <v>221</v>
      </c>
      <c r="L8" s="915" t="str">
        <f t="shared" ref="L8:N10" si="0">C8</f>
        <v>item</v>
      </c>
      <c r="M8" s="965">
        <f t="shared" si="0"/>
        <v>0</v>
      </c>
      <c r="N8" s="966">
        <f t="shared" si="0"/>
        <v>1</v>
      </c>
      <c r="O8" s="967">
        <f>M8*N8</f>
        <v>0</v>
      </c>
      <c r="P8" s="968"/>
      <c r="Q8" s="969"/>
      <c r="R8" s="267"/>
      <c r="S8" s="964">
        <v>1</v>
      </c>
      <c r="T8" s="1210" t="s">
        <v>221</v>
      </c>
      <c r="U8" s="915" t="str">
        <f t="shared" ref="U8:W10" si="1">L8</f>
        <v>item</v>
      </c>
      <c r="V8" s="965">
        <f t="shared" si="1"/>
        <v>0</v>
      </c>
      <c r="W8" s="966">
        <f t="shared" si="1"/>
        <v>1</v>
      </c>
      <c r="X8" s="967">
        <f>V8*W8</f>
        <v>0</v>
      </c>
      <c r="Y8" s="968"/>
      <c r="Z8" s="969"/>
    </row>
    <row r="9" spans="1:29" ht="12" customHeight="1" x14ac:dyDescent="0.25">
      <c r="A9" s="964">
        <v>2</v>
      </c>
      <c r="B9" s="1210"/>
      <c r="C9" s="915" t="s">
        <v>703</v>
      </c>
      <c r="D9" s="965">
        <v>0</v>
      </c>
      <c r="E9" s="966">
        <v>1</v>
      </c>
      <c r="F9" s="967">
        <f t="shared" ref="F9:F10" si="2">D9*E9</f>
        <v>0</v>
      </c>
      <c r="G9" s="968"/>
      <c r="H9" s="969"/>
      <c r="I9" s="970"/>
      <c r="J9" s="964">
        <v>2</v>
      </c>
      <c r="K9" s="1210"/>
      <c r="L9" s="915" t="str">
        <f t="shared" si="0"/>
        <v>item</v>
      </c>
      <c r="M9" s="965">
        <f t="shared" si="0"/>
        <v>0</v>
      </c>
      <c r="N9" s="966">
        <f t="shared" si="0"/>
        <v>1</v>
      </c>
      <c r="O9" s="967">
        <f t="shared" ref="O9:O10" si="3">M9*N9</f>
        <v>0</v>
      </c>
      <c r="P9" s="968"/>
      <c r="Q9" s="969"/>
      <c r="R9" s="267"/>
      <c r="S9" s="964">
        <v>2</v>
      </c>
      <c r="T9" s="1210"/>
      <c r="U9" s="915" t="str">
        <f t="shared" si="1"/>
        <v>item</v>
      </c>
      <c r="V9" s="965">
        <f t="shared" si="1"/>
        <v>0</v>
      </c>
      <c r="W9" s="966">
        <f t="shared" si="1"/>
        <v>1</v>
      </c>
      <c r="X9" s="967">
        <f t="shared" ref="X9:X10" si="4">V9*W9</f>
        <v>0</v>
      </c>
      <c r="Y9" s="968"/>
      <c r="Z9" s="969"/>
    </row>
    <row r="10" spans="1:29" ht="12" customHeight="1" thickBot="1" x14ac:dyDescent="0.3">
      <c r="A10" s="964">
        <v>3</v>
      </c>
      <c r="B10" s="1210"/>
      <c r="C10" s="915" t="s">
        <v>703</v>
      </c>
      <c r="D10" s="965">
        <v>0</v>
      </c>
      <c r="E10" s="971">
        <v>1</v>
      </c>
      <c r="F10" s="967">
        <f t="shared" si="2"/>
        <v>0</v>
      </c>
      <c r="G10" s="968"/>
      <c r="H10" s="969"/>
      <c r="I10" s="970"/>
      <c r="J10" s="964">
        <v>3</v>
      </c>
      <c r="K10" s="1210"/>
      <c r="L10" s="915" t="str">
        <f t="shared" si="0"/>
        <v>item</v>
      </c>
      <c r="M10" s="965">
        <f t="shared" si="0"/>
        <v>0</v>
      </c>
      <c r="N10" s="971">
        <f t="shared" si="0"/>
        <v>1</v>
      </c>
      <c r="O10" s="967">
        <f t="shared" si="3"/>
        <v>0</v>
      </c>
      <c r="P10" s="968"/>
      <c r="Q10" s="969"/>
      <c r="R10" s="267"/>
      <c r="S10" s="964">
        <v>3</v>
      </c>
      <c r="T10" s="1210"/>
      <c r="U10" s="915" t="str">
        <f t="shared" si="1"/>
        <v>item</v>
      </c>
      <c r="V10" s="965">
        <f t="shared" si="1"/>
        <v>0</v>
      </c>
      <c r="W10" s="971">
        <f t="shared" si="1"/>
        <v>1</v>
      </c>
      <c r="X10" s="967">
        <f t="shared" si="4"/>
        <v>0</v>
      </c>
      <c r="Y10" s="968"/>
      <c r="Z10" s="969"/>
    </row>
    <row r="11" spans="1:29" ht="12" customHeight="1" thickBot="1" x14ac:dyDescent="0.3">
      <c r="A11" s="972"/>
      <c r="B11" s="1211"/>
      <c r="C11" s="973"/>
      <c r="D11" s="974"/>
      <c r="E11" s="975"/>
      <c r="F11" s="976"/>
      <c r="G11" s="977">
        <f>SUM(F8:F10)</f>
        <v>0</v>
      </c>
      <c r="H11" s="978">
        <f>G11</f>
        <v>0</v>
      </c>
      <c r="I11" s="267"/>
      <c r="J11" s="972"/>
      <c r="K11" s="1211"/>
      <c r="L11" s="973"/>
      <c r="M11" s="974"/>
      <c r="N11" s="975"/>
      <c r="O11" s="976"/>
      <c r="P11" s="977">
        <f>SUM(O8:O10)</f>
        <v>0</v>
      </c>
      <c r="Q11" s="978">
        <f>P11</f>
        <v>0</v>
      </c>
      <c r="R11" s="267"/>
      <c r="S11" s="972"/>
      <c r="T11" s="1211"/>
      <c r="U11" s="973"/>
      <c r="V11" s="974"/>
      <c r="W11" s="975"/>
      <c r="X11" s="976"/>
      <c r="Y11" s="977">
        <f>SUM(X8:X10)</f>
        <v>0</v>
      </c>
      <c r="Z11" s="978">
        <f>Y11</f>
        <v>0</v>
      </c>
    </row>
    <row r="12" spans="1:29" ht="8.25" customHeight="1" x14ac:dyDescent="0.25">
      <c r="A12" s="964"/>
      <c r="B12" s="979"/>
      <c r="C12" s="979"/>
      <c r="D12" s="980"/>
      <c r="E12" s="981"/>
      <c r="F12" s="982"/>
      <c r="G12" s="983"/>
      <c r="H12" s="969"/>
      <c r="I12" s="267"/>
      <c r="J12" s="964"/>
      <c r="K12" s="979"/>
      <c r="L12" s="979"/>
      <c r="M12" s="980"/>
      <c r="N12" s="981"/>
      <c r="O12" s="982"/>
      <c r="P12" s="983"/>
      <c r="Q12" s="969"/>
      <c r="R12" s="267"/>
      <c r="S12" s="964"/>
      <c r="T12" s="979"/>
      <c r="U12" s="979"/>
      <c r="V12" s="980"/>
      <c r="W12" s="981"/>
      <c r="X12" s="982"/>
      <c r="Y12" s="983"/>
      <c r="Z12" s="969"/>
    </row>
    <row r="13" spans="1:29" s="3" customFormat="1" ht="25.5" x14ac:dyDescent="0.25">
      <c r="A13" s="984" t="s">
        <v>210</v>
      </c>
      <c r="B13" s="771"/>
      <c r="C13" s="771"/>
      <c r="D13" s="646" t="s">
        <v>475</v>
      </c>
      <c r="E13" s="961" t="s">
        <v>476</v>
      </c>
      <c r="F13" s="962"/>
      <c r="G13" s="961" t="s">
        <v>217</v>
      </c>
      <c r="H13" s="645" t="s">
        <v>567</v>
      </c>
      <c r="I13" s="267"/>
      <c r="J13" s="984" t="s">
        <v>210</v>
      </c>
      <c r="K13" s="771"/>
      <c r="L13" s="771"/>
      <c r="M13" s="646" t="s">
        <v>475</v>
      </c>
      <c r="N13" s="961" t="s">
        <v>476</v>
      </c>
      <c r="O13" s="962"/>
      <c r="P13" s="961" t="s">
        <v>217</v>
      </c>
      <c r="Q13" s="645" t="s">
        <v>567</v>
      </c>
      <c r="R13" s="267"/>
      <c r="S13" s="984" t="s">
        <v>210</v>
      </c>
      <c r="T13" s="771"/>
      <c r="U13" s="771"/>
      <c r="V13" s="646" t="s">
        <v>475</v>
      </c>
      <c r="W13" s="961" t="s">
        <v>476</v>
      </c>
      <c r="X13" s="962"/>
      <c r="Y13" s="961" t="s">
        <v>217</v>
      </c>
      <c r="Z13" s="645" t="s">
        <v>567</v>
      </c>
    </row>
    <row r="14" spans="1:29" ht="12" customHeight="1" x14ac:dyDescent="0.25">
      <c r="A14" s="985">
        <v>1</v>
      </c>
      <c r="B14" s="1210" t="s">
        <v>719</v>
      </c>
      <c r="C14" s="986" t="s">
        <v>704</v>
      </c>
      <c r="D14" s="987">
        <v>0</v>
      </c>
      <c r="E14" s="988">
        <v>1</v>
      </c>
      <c r="F14" s="967">
        <f>D14*E14</f>
        <v>0</v>
      </c>
      <c r="G14" s="968"/>
      <c r="H14" s="989"/>
      <c r="I14" s="267"/>
      <c r="J14" s="985">
        <v>1</v>
      </c>
      <c r="K14" s="1209" t="s">
        <v>719</v>
      </c>
      <c r="L14" s="986" t="str">
        <f t="shared" ref="L14:N17" si="5">C14</f>
        <v>purpose</v>
      </c>
      <c r="M14" s="987">
        <f t="shared" si="5"/>
        <v>0</v>
      </c>
      <c r="N14" s="988">
        <f t="shared" si="5"/>
        <v>1</v>
      </c>
      <c r="O14" s="967">
        <f>M14*N14</f>
        <v>0</v>
      </c>
      <c r="P14" s="968"/>
      <c r="Q14" s="989"/>
      <c r="R14" s="267"/>
      <c r="S14" s="985">
        <v>1</v>
      </c>
      <c r="T14" s="1210" t="s">
        <v>719</v>
      </c>
      <c r="U14" s="986" t="str">
        <f t="shared" ref="U14:W17" si="6">L14</f>
        <v>purpose</v>
      </c>
      <c r="V14" s="987">
        <f t="shared" si="6"/>
        <v>0</v>
      </c>
      <c r="W14" s="988">
        <f t="shared" si="6"/>
        <v>1</v>
      </c>
      <c r="X14" s="967">
        <f>V14*W14</f>
        <v>0</v>
      </c>
      <c r="Y14" s="968"/>
      <c r="Z14" s="989"/>
    </row>
    <row r="15" spans="1:29" ht="12" customHeight="1" x14ac:dyDescent="0.25">
      <c r="A15" s="985">
        <v>2</v>
      </c>
      <c r="B15" s="1210"/>
      <c r="C15" s="990" t="s">
        <v>704</v>
      </c>
      <c r="D15" s="991">
        <v>0</v>
      </c>
      <c r="E15" s="992">
        <v>1</v>
      </c>
      <c r="F15" s="967">
        <f>D15*E15</f>
        <v>0</v>
      </c>
      <c r="G15" s="968"/>
      <c r="H15" s="989"/>
      <c r="I15" s="267"/>
      <c r="J15" s="985">
        <v>2</v>
      </c>
      <c r="K15" s="1210"/>
      <c r="L15" s="990" t="str">
        <f t="shared" si="5"/>
        <v>purpose</v>
      </c>
      <c r="M15" s="991">
        <f t="shared" si="5"/>
        <v>0</v>
      </c>
      <c r="N15" s="992">
        <f t="shared" si="5"/>
        <v>1</v>
      </c>
      <c r="O15" s="967">
        <f>M15*N15</f>
        <v>0</v>
      </c>
      <c r="P15" s="968"/>
      <c r="Q15" s="989"/>
      <c r="R15" s="267"/>
      <c r="S15" s="985">
        <v>2</v>
      </c>
      <c r="T15" s="1210"/>
      <c r="U15" s="990" t="str">
        <f t="shared" si="6"/>
        <v>purpose</v>
      </c>
      <c r="V15" s="991">
        <f t="shared" si="6"/>
        <v>0</v>
      </c>
      <c r="W15" s="992">
        <f t="shared" si="6"/>
        <v>1</v>
      </c>
      <c r="X15" s="967">
        <f>V15*W15</f>
        <v>0</v>
      </c>
      <c r="Y15" s="968"/>
      <c r="Z15" s="989"/>
    </row>
    <row r="16" spans="1:29" ht="12" customHeight="1" x14ac:dyDescent="0.25">
      <c r="A16" s="985">
        <v>3</v>
      </c>
      <c r="B16" s="1210"/>
      <c r="C16" s="990" t="s">
        <v>704</v>
      </c>
      <c r="D16" s="991">
        <v>0</v>
      </c>
      <c r="E16" s="992">
        <v>1</v>
      </c>
      <c r="F16" s="967">
        <f t="shared" ref="F16:F17" si="7">D16*E16</f>
        <v>0</v>
      </c>
      <c r="G16" s="968"/>
      <c r="H16" s="989"/>
      <c r="I16" s="267"/>
      <c r="J16" s="985">
        <v>3</v>
      </c>
      <c r="K16" s="1210"/>
      <c r="L16" s="990" t="str">
        <f t="shared" si="5"/>
        <v>purpose</v>
      </c>
      <c r="M16" s="991">
        <f t="shared" si="5"/>
        <v>0</v>
      </c>
      <c r="N16" s="992">
        <f t="shared" si="5"/>
        <v>1</v>
      </c>
      <c r="O16" s="967">
        <f t="shared" ref="O16:O17" si="8">M16*N16</f>
        <v>0</v>
      </c>
      <c r="P16" s="968"/>
      <c r="Q16" s="989"/>
      <c r="R16" s="267"/>
      <c r="S16" s="985">
        <v>3</v>
      </c>
      <c r="T16" s="1210"/>
      <c r="U16" s="990" t="str">
        <f t="shared" si="6"/>
        <v>purpose</v>
      </c>
      <c r="V16" s="991">
        <f t="shared" si="6"/>
        <v>0</v>
      </c>
      <c r="W16" s="992">
        <f t="shared" si="6"/>
        <v>1</v>
      </c>
      <c r="X16" s="967">
        <f t="shared" ref="X16:X17" si="9">V16*W16</f>
        <v>0</v>
      </c>
      <c r="Y16" s="968"/>
      <c r="Z16" s="989"/>
    </row>
    <row r="17" spans="1:26" ht="12" customHeight="1" x14ac:dyDescent="0.25">
      <c r="A17" s="985">
        <v>4</v>
      </c>
      <c r="B17" s="1210"/>
      <c r="C17" s="990" t="s">
        <v>704</v>
      </c>
      <c r="D17" s="991">
        <v>0</v>
      </c>
      <c r="E17" s="992">
        <v>1</v>
      </c>
      <c r="F17" s="967">
        <f t="shared" si="7"/>
        <v>0</v>
      </c>
      <c r="G17" s="968"/>
      <c r="H17" s="989"/>
      <c r="I17" s="267"/>
      <c r="J17" s="985">
        <v>4</v>
      </c>
      <c r="K17" s="1210"/>
      <c r="L17" s="990" t="str">
        <f t="shared" si="5"/>
        <v>purpose</v>
      </c>
      <c r="M17" s="991">
        <f t="shared" si="5"/>
        <v>0</v>
      </c>
      <c r="N17" s="992">
        <f t="shared" si="5"/>
        <v>1</v>
      </c>
      <c r="O17" s="967">
        <f t="shared" si="8"/>
        <v>0</v>
      </c>
      <c r="P17" s="968"/>
      <c r="Q17" s="989"/>
      <c r="R17" s="267"/>
      <c r="S17" s="985">
        <v>4</v>
      </c>
      <c r="T17" s="1210"/>
      <c r="U17" s="990" t="str">
        <f t="shared" si="6"/>
        <v>purpose</v>
      </c>
      <c r="V17" s="991">
        <f t="shared" si="6"/>
        <v>0</v>
      </c>
      <c r="W17" s="992">
        <f t="shared" si="6"/>
        <v>1</v>
      </c>
      <c r="X17" s="967">
        <f t="shared" si="9"/>
        <v>0</v>
      </c>
      <c r="Y17" s="968"/>
      <c r="Z17" s="989"/>
    </row>
    <row r="18" spans="1:26" ht="12" customHeight="1" thickBot="1" x14ac:dyDescent="0.3">
      <c r="A18" s="985"/>
      <c r="B18" s="1210"/>
      <c r="C18" s="644" t="s">
        <v>472</v>
      </c>
      <c r="D18" s="993"/>
      <c r="E18" s="994"/>
      <c r="F18" s="967">
        <f>IF('TravelEstimate(optional)'!I36&gt;0,'TravelEstimate(optional)'!I36,0)</f>
        <v>0</v>
      </c>
      <c r="G18" s="968"/>
      <c r="H18" s="989"/>
      <c r="I18" s="267"/>
      <c r="J18" s="985"/>
      <c r="K18" s="1210"/>
      <c r="L18" s="644" t="s">
        <v>472</v>
      </c>
      <c r="M18" s="993"/>
      <c r="N18" s="994"/>
      <c r="O18" s="967">
        <f>IF('TravelEstimate(optional)'!T36&gt;0,'TravelEstimate(optional)'!T36,0)</f>
        <v>0</v>
      </c>
      <c r="P18" s="968"/>
      <c r="Q18" s="989"/>
      <c r="R18" s="267"/>
      <c r="S18" s="985"/>
      <c r="T18" s="1210"/>
      <c r="U18" s="644" t="s">
        <v>472</v>
      </c>
      <c r="V18" s="993"/>
      <c r="W18" s="994"/>
      <c r="X18" s="967">
        <f>IF('TravelEstimate(optional)'!AE36&gt;0,'TravelEstimate(optional)'!AE36,0)</f>
        <v>0</v>
      </c>
      <c r="Y18" s="968"/>
      <c r="Z18" s="989"/>
    </row>
    <row r="19" spans="1:26" ht="12" customHeight="1" thickBot="1" x14ac:dyDescent="0.3">
      <c r="A19" s="995"/>
      <c r="B19" s="1211"/>
      <c r="C19" s="973"/>
      <c r="D19" s="974"/>
      <c r="E19" s="975"/>
      <c r="F19" s="976"/>
      <c r="G19" s="996">
        <f>SUM(F14:F18)</f>
        <v>0</v>
      </c>
      <c r="H19" s="978">
        <f>G19*'F&amp;ARatesCalc'!J13</f>
        <v>0</v>
      </c>
      <c r="I19" s="267"/>
      <c r="J19" s="995"/>
      <c r="K19" s="1211"/>
      <c r="L19" s="973"/>
      <c r="M19" s="974"/>
      <c r="N19" s="975"/>
      <c r="O19" s="976"/>
      <c r="P19" s="996">
        <f>SUM(O14:O18)</f>
        <v>0</v>
      </c>
      <c r="Q19" s="978">
        <f>P19*'F&amp;ARatesCalc'!J19</f>
        <v>0</v>
      </c>
      <c r="R19" s="267"/>
      <c r="S19" s="995"/>
      <c r="T19" s="1211"/>
      <c r="U19" s="973"/>
      <c r="V19" s="974"/>
      <c r="W19" s="975"/>
      <c r="X19" s="976"/>
      <c r="Y19" s="996">
        <f>SUM(X14:X18)</f>
        <v>0</v>
      </c>
      <c r="Z19" s="978">
        <f>Y19*'F&amp;ARatesCalc'!J25</f>
        <v>0</v>
      </c>
    </row>
    <row r="20" spans="1:26" ht="8.25" customHeight="1" x14ac:dyDescent="0.25">
      <c r="A20" s="997"/>
      <c r="B20" s="979"/>
      <c r="C20" s="979"/>
      <c r="D20" s="980"/>
      <c r="E20" s="981"/>
      <c r="F20" s="982"/>
      <c r="G20" s="983"/>
      <c r="H20" s="989"/>
      <c r="I20" s="267"/>
      <c r="J20" s="997"/>
      <c r="K20" s="979"/>
      <c r="L20" s="979"/>
      <c r="M20" s="980"/>
      <c r="N20" s="981"/>
      <c r="O20" s="982"/>
      <c r="P20" s="983"/>
      <c r="Q20" s="989"/>
      <c r="R20" s="267"/>
      <c r="S20" s="997"/>
      <c r="T20" s="979"/>
      <c r="U20" s="979"/>
      <c r="V20" s="980"/>
      <c r="W20" s="981"/>
      <c r="X20" s="982"/>
      <c r="Y20" s="983"/>
      <c r="Z20" s="989"/>
    </row>
    <row r="21" spans="1:26" s="3" customFormat="1" ht="25.5" x14ac:dyDescent="0.25">
      <c r="A21" s="998" t="s">
        <v>211</v>
      </c>
      <c r="B21" s="771"/>
      <c r="C21" s="771"/>
      <c r="D21" s="646" t="s">
        <v>475</v>
      </c>
      <c r="E21" s="961" t="s">
        <v>476</v>
      </c>
      <c r="F21" s="962"/>
      <c r="G21" s="961" t="s">
        <v>217</v>
      </c>
      <c r="H21" s="645" t="s">
        <v>567</v>
      </c>
      <c r="I21" s="267"/>
      <c r="J21" s="998" t="s">
        <v>211</v>
      </c>
      <c r="K21" s="771"/>
      <c r="L21" s="771"/>
      <c r="M21" s="646" t="s">
        <v>475</v>
      </c>
      <c r="N21" s="961" t="s">
        <v>476</v>
      </c>
      <c r="O21" s="962"/>
      <c r="P21" s="961" t="s">
        <v>217</v>
      </c>
      <c r="Q21" s="645" t="s">
        <v>567</v>
      </c>
      <c r="R21" s="267"/>
      <c r="S21" s="998" t="s">
        <v>211</v>
      </c>
      <c r="T21" s="771"/>
      <c r="U21" s="771"/>
      <c r="V21" s="646" t="s">
        <v>475</v>
      </c>
      <c r="W21" s="961" t="s">
        <v>476</v>
      </c>
      <c r="X21" s="962"/>
      <c r="Y21" s="961" t="s">
        <v>217</v>
      </c>
      <c r="Z21" s="645" t="s">
        <v>567</v>
      </c>
    </row>
    <row r="22" spans="1:26" ht="12" customHeight="1" x14ac:dyDescent="0.25">
      <c r="A22" s="985">
        <v>1</v>
      </c>
      <c r="B22" s="1210" t="s">
        <v>719</v>
      </c>
      <c r="C22" s="986" t="s">
        <v>704</v>
      </c>
      <c r="D22" s="987">
        <v>0</v>
      </c>
      <c r="E22" s="988">
        <v>1</v>
      </c>
      <c r="F22" s="999">
        <f>D22*E22</f>
        <v>0</v>
      </c>
      <c r="G22" s="968"/>
      <c r="H22" s="989"/>
      <c r="I22" s="267"/>
      <c r="J22" s="985">
        <v>1</v>
      </c>
      <c r="K22" s="1209" t="s">
        <v>719</v>
      </c>
      <c r="L22" s="986" t="str">
        <f t="shared" ref="L22:N25" si="10">C22</f>
        <v>purpose</v>
      </c>
      <c r="M22" s="987">
        <f t="shared" si="10"/>
        <v>0</v>
      </c>
      <c r="N22" s="988">
        <f t="shared" si="10"/>
        <v>1</v>
      </c>
      <c r="O22" s="999">
        <f>M22*N22</f>
        <v>0</v>
      </c>
      <c r="P22" s="968"/>
      <c r="Q22" s="989"/>
      <c r="R22" s="267"/>
      <c r="S22" s="985">
        <v>1</v>
      </c>
      <c r="T22" s="1210" t="s">
        <v>719</v>
      </c>
      <c r="U22" s="986" t="str">
        <f t="shared" ref="U22:W25" si="11">L22</f>
        <v>purpose</v>
      </c>
      <c r="V22" s="987">
        <f t="shared" si="11"/>
        <v>0</v>
      </c>
      <c r="W22" s="988">
        <f t="shared" si="11"/>
        <v>1</v>
      </c>
      <c r="X22" s="999">
        <f>V22*W22</f>
        <v>0</v>
      </c>
      <c r="Y22" s="968"/>
      <c r="Z22" s="989"/>
    </row>
    <row r="23" spans="1:26" ht="12" customHeight="1" x14ac:dyDescent="0.25">
      <c r="A23" s="985">
        <v>2</v>
      </c>
      <c r="B23" s="1210"/>
      <c r="C23" s="990" t="s">
        <v>704</v>
      </c>
      <c r="D23" s="991">
        <v>0</v>
      </c>
      <c r="E23" s="992">
        <v>1</v>
      </c>
      <c r="F23" s="999">
        <f>D23*E23</f>
        <v>0</v>
      </c>
      <c r="G23" s="968"/>
      <c r="H23" s="989"/>
      <c r="I23" s="267"/>
      <c r="J23" s="985">
        <v>2</v>
      </c>
      <c r="K23" s="1210"/>
      <c r="L23" s="990" t="str">
        <f t="shared" si="10"/>
        <v>purpose</v>
      </c>
      <c r="M23" s="991">
        <f t="shared" si="10"/>
        <v>0</v>
      </c>
      <c r="N23" s="992">
        <f t="shared" si="10"/>
        <v>1</v>
      </c>
      <c r="O23" s="999">
        <f>M23*N23</f>
        <v>0</v>
      </c>
      <c r="P23" s="968"/>
      <c r="Q23" s="989"/>
      <c r="R23" s="267"/>
      <c r="S23" s="985">
        <v>2</v>
      </c>
      <c r="T23" s="1210"/>
      <c r="U23" s="990" t="str">
        <f t="shared" si="11"/>
        <v>purpose</v>
      </c>
      <c r="V23" s="991">
        <f t="shared" si="11"/>
        <v>0</v>
      </c>
      <c r="W23" s="992">
        <f t="shared" si="11"/>
        <v>1</v>
      </c>
      <c r="X23" s="999">
        <f>V23*W23</f>
        <v>0</v>
      </c>
      <c r="Y23" s="968"/>
      <c r="Z23" s="989"/>
    </row>
    <row r="24" spans="1:26" ht="12" customHeight="1" x14ac:dyDescent="0.25">
      <c r="A24" s="985">
        <v>3</v>
      </c>
      <c r="B24" s="1210"/>
      <c r="C24" s="990" t="s">
        <v>704</v>
      </c>
      <c r="D24" s="991">
        <v>0</v>
      </c>
      <c r="E24" s="992">
        <v>1</v>
      </c>
      <c r="F24" s="999">
        <f t="shared" ref="F24:F25" si="12">D24*E24</f>
        <v>0</v>
      </c>
      <c r="G24" s="968"/>
      <c r="H24" s="989"/>
      <c r="I24" s="267"/>
      <c r="J24" s="985">
        <v>3</v>
      </c>
      <c r="K24" s="1210"/>
      <c r="L24" s="990" t="str">
        <f t="shared" si="10"/>
        <v>purpose</v>
      </c>
      <c r="M24" s="991">
        <f t="shared" si="10"/>
        <v>0</v>
      </c>
      <c r="N24" s="992">
        <f t="shared" si="10"/>
        <v>1</v>
      </c>
      <c r="O24" s="999">
        <f t="shared" ref="O24:O25" si="13">M24*N24</f>
        <v>0</v>
      </c>
      <c r="P24" s="968"/>
      <c r="Q24" s="989"/>
      <c r="R24" s="267"/>
      <c r="S24" s="985">
        <v>3</v>
      </c>
      <c r="T24" s="1210"/>
      <c r="U24" s="990" t="str">
        <f t="shared" si="11"/>
        <v>purpose</v>
      </c>
      <c r="V24" s="991">
        <f t="shared" si="11"/>
        <v>0</v>
      </c>
      <c r="W24" s="992">
        <f t="shared" si="11"/>
        <v>1</v>
      </c>
      <c r="X24" s="999">
        <f t="shared" ref="X24:X25" si="14">V24*W24</f>
        <v>0</v>
      </c>
      <c r="Y24" s="968"/>
      <c r="Z24" s="989"/>
    </row>
    <row r="25" spans="1:26" ht="12" customHeight="1" x14ac:dyDescent="0.25">
      <c r="A25" s="985">
        <v>4</v>
      </c>
      <c r="B25" s="1210"/>
      <c r="C25" s="990" t="s">
        <v>704</v>
      </c>
      <c r="D25" s="991">
        <v>0</v>
      </c>
      <c r="E25" s="992">
        <v>1</v>
      </c>
      <c r="F25" s="999">
        <f t="shared" si="12"/>
        <v>0</v>
      </c>
      <c r="G25" s="968"/>
      <c r="H25" s="989"/>
      <c r="I25" s="267"/>
      <c r="J25" s="985">
        <v>4</v>
      </c>
      <c r="K25" s="1210"/>
      <c r="L25" s="990" t="str">
        <f t="shared" si="10"/>
        <v>purpose</v>
      </c>
      <c r="M25" s="991">
        <f t="shared" si="10"/>
        <v>0</v>
      </c>
      <c r="N25" s="992">
        <f t="shared" si="10"/>
        <v>1</v>
      </c>
      <c r="O25" s="999">
        <f t="shared" si="13"/>
        <v>0</v>
      </c>
      <c r="P25" s="968"/>
      <c r="Q25" s="989"/>
      <c r="R25" s="267"/>
      <c r="S25" s="985">
        <v>4</v>
      </c>
      <c r="T25" s="1210"/>
      <c r="U25" s="990" t="str">
        <f t="shared" si="11"/>
        <v>purpose</v>
      </c>
      <c r="V25" s="991">
        <f t="shared" si="11"/>
        <v>0</v>
      </c>
      <c r="W25" s="992">
        <f t="shared" si="11"/>
        <v>1</v>
      </c>
      <c r="X25" s="999">
        <f t="shared" si="14"/>
        <v>0</v>
      </c>
      <c r="Y25" s="968"/>
      <c r="Z25" s="989"/>
    </row>
    <row r="26" spans="1:26" ht="12" customHeight="1" thickBot="1" x14ac:dyDescent="0.3">
      <c r="A26" s="985"/>
      <c r="B26" s="1210"/>
      <c r="C26" s="644" t="s">
        <v>472</v>
      </c>
      <c r="D26" s="993"/>
      <c r="E26" s="994"/>
      <c r="F26" s="967">
        <f>IF('TravelEstimate(optional)'!I56&gt;0,'TravelEstimate(optional)'!I56,0)</f>
        <v>0</v>
      </c>
      <c r="G26" s="968"/>
      <c r="H26" s="989"/>
      <c r="I26" s="267"/>
      <c r="J26" s="985"/>
      <c r="K26" s="1210"/>
      <c r="L26" s="644" t="s">
        <v>472</v>
      </c>
      <c r="M26" s="993"/>
      <c r="N26" s="994"/>
      <c r="O26" s="967">
        <f>IF('TravelEstimate(optional)'!T56&gt;0,'TravelEstimate(optional)'!T56,0)</f>
        <v>0</v>
      </c>
      <c r="P26" s="968"/>
      <c r="Q26" s="989"/>
      <c r="R26" s="267"/>
      <c r="S26" s="985"/>
      <c r="T26" s="1210"/>
      <c r="U26" s="644" t="s">
        <v>472</v>
      </c>
      <c r="V26" s="993"/>
      <c r="W26" s="994"/>
      <c r="X26" s="967">
        <f>IF('TravelEstimate(optional)'!AE56&gt;0,'TravelEstimate(optional)'!AE56,0)</f>
        <v>0</v>
      </c>
      <c r="Y26" s="968"/>
      <c r="Z26" s="989"/>
    </row>
    <row r="27" spans="1:26" ht="12" customHeight="1" thickBot="1" x14ac:dyDescent="0.3">
      <c r="A27" s="995"/>
      <c r="B27" s="1211"/>
      <c r="C27" s="973"/>
      <c r="D27" s="974"/>
      <c r="E27" s="975"/>
      <c r="F27" s="976"/>
      <c r="G27" s="996">
        <f>SUM(F22:F26)</f>
        <v>0</v>
      </c>
      <c r="H27" s="978">
        <f>G27*'F&amp;ARatesCalc'!J13</f>
        <v>0</v>
      </c>
      <c r="I27" s="267"/>
      <c r="J27" s="995"/>
      <c r="K27" s="1211"/>
      <c r="L27" s="973"/>
      <c r="M27" s="974"/>
      <c r="N27" s="975"/>
      <c r="O27" s="976"/>
      <c r="P27" s="996">
        <f>SUM(O22:O26)</f>
        <v>0</v>
      </c>
      <c r="Q27" s="978">
        <f>P27*'F&amp;ARatesCalc'!J19</f>
        <v>0</v>
      </c>
      <c r="R27" s="267"/>
      <c r="S27" s="995"/>
      <c r="T27" s="1211"/>
      <c r="U27" s="973"/>
      <c r="V27" s="974"/>
      <c r="W27" s="975"/>
      <c r="X27" s="976"/>
      <c r="Y27" s="996">
        <f>SUM(X22:X26)</f>
        <v>0</v>
      </c>
      <c r="Z27" s="978">
        <f>Y27*'F&amp;ARatesCalc'!J25</f>
        <v>0</v>
      </c>
    </row>
    <row r="28" spans="1:26" ht="8.25" customHeight="1" x14ac:dyDescent="0.25">
      <c r="A28" s="1000"/>
      <c r="B28" s="979"/>
      <c r="C28" s="979"/>
      <c r="D28" s="980"/>
      <c r="E28" s="981"/>
      <c r="F28" s="982"/>
      <c r="G28" s="1001"/>
      <c r="H28" s="989"/>
      <c r="I28" s="267"/>
      <c r="J28" s="1000"/>
      <c r="K28" s="979"/>
      <c r="L28" s="979"/>
      <c r="M28" s="980"/>
      <c r="N28" s="981"/>
      <c r="O28" s="982"/>
      <c r="P28" s="1001"/>
      <c r="Q28" s="989"/>
      <c r="R28" s="267"/>
      <c r="S28" s="1000"/>
      <c r="T28" s="979"/>
      <c r="U28" s="979"/>
      <c r="V28" s="980"/>
      <c r="W28" s="981"/>
      <c r="X28" s="982"/>
      <c r="Y28" s="1001"/>
      <c r="Z28" s="989"/>
    </row>
    <row r="29" spans="1:26" s="3" customFormat="1" ht="25.5" x14ac:dyDescent="0.25">
      <c r="A29" s="984" t="s">
        <v>201</v>
      </c>
      <c r="B29" s="771"/>
      <c r="C29" s="771"/>
      <c r="D29" s="959" t="s">
        <v>478</v>
      </c>
      <c r="E29" s="1002" t="s">
        <v>479</v>
      </c>
      <c r="F29" s="962"/>
      <c r="G29" s="961" t="s">
        <v>217</v>
      </c>
      <c r="H29" s="645" t="s">
        <v>567</v>
      </c>
      <c r="I29" s="267"/>
      <c r="J29" s="984" t="s">
        <v>201</v>
      </c>
      <c r="K29" s="771"/>
      <c r="L29" s="771"/>
      <c r="M29" s="646" t="s">
        <v>478</v>
      </c>
      <c r="N29" s="1002" t="s">
        <v>479</v>
      </c>
      <c r="O29" s="962"/>
      <c r="P29" s="961" t="s">
        <v>217</v>
      </c>
      <c r="Q29" s="645" t="s">
        <v>567</v>
      </c>
      <c r="R29" s="267"/>
      <c r="S29" s="984" t="s">
        <v>201</v>
      </c>
      <c r="T29" s="771"/>
      <c r="U29" s="771"/>
      <c r="V29" s="646" t="s">
        <v>478</v>
      </c>
      <c r="W29" s="1002" t="s">
        <v>479</v>
      </c>
      <c r="X29" s="962"/>
      <c r="Y29" s="961" t="s">
        <v>217</v>
      </c>
      <c r="Z29" s="645" t="s">
        <v>567</v>
      </c>
    </row>
    <row r="30" spans="1:26" ht="12" customHeight="1" x14ac:dyDescent="0.25">
      <c r="A30" s="1003"/>
      <c r="B30" s="1209" t="s">
        <v>720</v>
      </c>
      <c r="C30" s="644" t="s">
        <v>202</v>
      </c>
      <c r="D30" s="987">
        <v>0</v>
      </c>
      <c r="E30" s="988">
        <v>1</v>
      </c>
      <c r="F30" s="999">
        <f>D30*E30</f>
        <v>0</v>
      </c>
      <c r="G30" s="968"/>
      <c r="H30" s="989"/>
      <c r="I30" s="267"/>
      <c r="J30" s="1003"/>
      <c r="K30" s="1209" t="s">
        <v>245</v>
      </c>
      <c r="L30" s="644" t="s">
        <v>202</v>
      </c>
      <c r="M30" s="987">
        <f t="shared" ref="M30:N33" si="15">D30</f>
        <v>0</v>
      </c>
      <c r="N30" s="988">
        <f t="shared" si="15"/>
        <v>1</v>
      </c>
      <c r="O30" s="999">
        <f>M30*N30</f>
        <v>0</v>
      </c>
      <c r="P30" s="968"/>
      <c r="Q30" s="989"/>
      <c r="R30" s="267"/>
      <c r="S30" s="1003"/>
      <c r="T30" s="1209" t="s">
        <v>245</v>
      </c>
      <c r="U30" s="644" t="s">
        <v>202</v>
      </c>
      <c r="V30" s="987">
        <f t="shared" ref="V30:W33" si="16">M30</f>
        <v>0</v>
      </c>
      <c r="W30" s="988">
        <f t="shared" si="16"/>
        <v>1</v>
      </c>
      <c r="X30" s="999">
        <f>V30*W30</f>
        <v>0</v>
      </c>
      <c r="Y30" s="968"/>
      <c r="Z30" s="989"/>
    </row>
    <row r="31" spans="1:26" ht="12" customHeight="1" x14ac:dyDescent="0.25">
      <c r="A31" s="1003"/>
      <c r="B31" s="1210"/>
      <c r="C31" s="644" t="s">
        <v>200</v>
      </c>
      <c r="D31" s="965">
        <v>0</v>
      </c>
      <c r="E31" s="992">
        <v>1</v>
      </c>
      <c r="F31" s="999">
        <f t="shared" ref="F31:F33" si="17">D31*E31</f>
        <v>0</v>
      </c>
      <c r="G31" s="968"/>
      <c r="H31" s="989"/>
      <c r="I31" s="267"/>
      <c r="J31" s="1003"/>
      <c r="K31" s="1210"/>
      <c r="L31" s="644" t="s">
        <v>200</v>
      </c>
      <c r="M31" s="965">
        <f t="shared" si="15"/>
        <v>0</v>
      </c>
      <c r="N31" s="992">
        <f t="shared" si="15"/>
        <v>1</v>
      </c>
      <c r="O31" s="999">
        <f t="shared" ref="O31:O33" si="18">M31*N31</f>
        <v>0</v>
      </c>
      <c r="P31" s="968"/>
      <c r="Q31" s="989"/>
      <c r="R31" s="267"/>
      <c r="S31" s="1003"/>
      <c r="T31" s="1210"/>
      <c r="U31" s="644" t="s">
        <v>200</v>
      </c>
      <c r="V31" s="965">
        <f t="shared" si="16"/>
        <v>0</v>
      </c>
      <c r="W31" s="992">
        <f t="shared" si="16"/>
        <v>1</v>
      </c>
      <c r="X31" s="999">
        <f t="shared" ref="X31:X33" si="19">V31*W31</f>
        <v>0</v>
      </c>
      <c r="Y31" s="968"/>
      <c r="Z31" s="989"/>
    </row>
    <row r="32" spans="1:26" ht="12" customHeight="1" x14ac:dyDescent="0.25">
      <c r="A32" s="1003"/>
      <c r="B32" s="1210"/>
      <c r="C32" s="644" t="s">
        <v>203</v>
      </c>
      <c r="D32" s="965">
        <v>0</v>
      </c>
      <c r="E32" s="988">
        <v>1</v>
      </c>
      <c r="F32" s="999">
        <f t="shared" si="17"/>
        <v>0</v>
      </c>
      <c r="G32" s="968"/>
      <c r="H32" s="989"/>
      <c r="I32" s="267"/>
      <c r="J32" s="1003"/>
      <c r="K32" s="1210"/>
      <c r="L32" s="644" t="s">
        <v>203</v>
      </c>
      <c r="M32" s="965">
        <f t="shared" si="15"/>
        <v>0</v>
      </c>
      <c r="N32" s="988">
        <f t="shared" si="15"/>
        <v>1</v>
      </c>
      <c r="O32" s="999">
        <f t="shared" si="18"/>
        <v>0</v>
      </c>
      <c r="P32" s="968"/>
      <c r="Q32" s="989"/>
      <c r="R32" s="267"/>
      <c r="S32" s="1003"/>
      <c r="T32" s="1210"/>
      <c r="U32" s="644" t="s">
        <v>203</v>
      </c>
      <c r="V32" s="965">
        <f t="shared" si="16"/>
        <v>0</v>
      </c>
      <c r="W32" s="988">
        <f t="shared" si="16"/>
        <v>1</v>
      </c>
      <c r="X32" s="999">
        <f t="shared" si="19"/>
        <v>0</v>
      </c>
      <c r="Y32" s="968"/>
      <c r="Z32" s="989"/>
    </row>
    <row r="33" spans="1:26" ht="12" customHeight="1" thickBot="1" x14ac:dyDescent="0.3">
      <c r="A33" s="1003"/>
      <c r="B33" s="1210"/>
      <c r="C33" s="644" t="s">
        <v>204</v>
      </c>
      <c r="D33" s="965">
        <v>0</v>
      </c>
      <c r="E33" s="992">
        <v>1</v>
      </c>
      <c r="F33" s="999">
        <f t="shared" si="17"/>
        <v>0</v>
      </c>
      <c r="G33" s="968"/>
      <c r="H33" s="989"/>
      <c r="I33" s="267"/>
      <c r="J33" s="1003"/>
      <c r="K33" s="1210"/>
      <c r="L33" s="644" t="s">
        <v>204</v>
      </c>
      <c r="M33" s="965">
        <f t="shared" si="15"/>
        <v>0</v>
      </c>
      <c r="N33" s="992">
        <f t="shared" si="15"/>
        <v>1</v>
      </c>
      <c r="O33" s="999">
        <f t="shared" si="18"/>
        <v>0</v>
      </c>
      <c r="P33" s="968"/>
      <c r="Q33" s="989"/>
      <c r="R33" s="267"/>
      <c r="S33" s="1003"/>
      <c r="T33" s="1210"/>
      <c r="U33" s="644" t="s">
        <v>204</v>
      </c>
      <c r="V33" s="965">
        <f t="shared" si="16"/>
        <v>0</v>
      </c>
      <c r="W33" s="992">
        <f t="shared" si="16"/>
        <v>1</v>
      </c>
      <c r="X33" s="999">
        <f t="shared" si="19"/>
        <v>0</v>
      </c>
      <c r="Y33" s="968"/>
      <c r="Z33" s="989"/>
    </row>
    <row r="34" spans="1:26" ht="12" customHeight="1" thickBot="1" x14ac:dyDescent="0.3">
      <c r="A34" s="972"/>
      <c r="B34" s="1211"/>
      <c r="C34" s="973"/>
      <c r="D34" s="974"/>
      <c r="E34" s="975"/>
      <c r="F34" s="976"/>
      <c r="G34" s="996">
        <f>SUM(F30:F33)</f>
        <v>0</v>
      </c>
      <c r="H34" s="978">
        <f>G34</f>
        <v>0</v>
      </c>
      <c r="I34" s="267"/>
      <c r="J34" s="972"/>
      <c r="K34" s="1211"/>
      <c r="L34" s="973"/>
      <c r="M34" s="974"/>
      <c r="N34" s="975"/>
      <c r="O34" s="976"/>
      <c r="P34" s="996">
        <f>SUM(O30:O33)</f>
        <v>0</v>
      </c>
      <c r="Q34" s="978">
        <f>P34</f>
        <v>0</v>
      </c>
      <c r="R34" s="267"/>
      <c r="S34" s="972"/>
      <c r="T34" s="1211"/>
      <c r="U34" s="973"/>
      <c r="V34" s="974"/>
      <c r="W34" s="975"/>
      <c r="X34" s="976"/>
      <c r="Y34" s="996">
        <f>SUM(X30:X33)</f>
        <v>0</v>
      </c>
      <c r="Z34" s="978">
        <f>Y34</f>
        <v>0</v>
      </c>
    </row>
    <row r="35" spans="1:26" ht="8.25" customHeight="1" x14ac:dyDescent="0.25">
      <c r="A35" s="979"/>
      <c r="B35" s="1004"/>
      <c r="C35" s="979"/>
      <c r="D35" s="980"/>
      <c r="E35" s="981"/>
      <c r="F35" s="982"/>
      <c r="G35" s="983"/>
      <c r="H35" s="1005"/>
      <c r="I35" s="267"/>
      <c r="J35" s="979"/>
      <c r="K35" s="1004"/>
      <c r="L35" s="979"/>
      <c r="M35" s="980"/>
      <c r="N35" s="981"/>
      <c r="O35" s="982"/>
      <c r="P35" s="983"/>
      <c r="Q35" s="1005"/>
      <c r="R35" s="983"/>
      <c r="S35" s="979"/>
      <c r="T35" s="1004"/>
      <c r="U35" s="979"/>
      <c r="V35" s="980"/>
      <c r="W35" s="981"/>
      <c r="X35" s="982"/>
      <c r="Y35" s="983"/>
      <c r="Z35" s="1005"/>
    </row>
    <row r="36" spans="1:26" s="3" customFormat="1" ht="25.5" x14ac:dyDescent="0.25">
      <c r="A36" s="984" t="s">
        <v>543</v>
      </c>
      <c r="B36" s="771"/>
      <c r="C36" s="771"/>
      <c r="D36" s="646" t="s">
        <v>564</v>
      </c>
      <c r="E36" s="1002" t="s">
        <v>542</v>
      </c>
      <c r="F36" s="962"/>
      <c r="G36" s="961" t="s">
        <v>217</v>
      </c>
      <c r="H36" s="645" t="s">
        <v>567</v>
      </c>
      <c r="I36" s="267"/>
      <c r="J36" s="984" t="s">
        <v>543</v>
      </c>
      <c r="K36" s="771"/>
      <c r="L36" s="771"/>
      <c r="M36" s="646" t="s">
        <v>564</v>
      </c>
      <c r="N36" s="1002" t="s">
        <v>542</v>
      </c>
      <c r="O36" s="962"/>
      <c r="P36" s="961" t="s">
        <v>217</v>
      </c>
      <c r="Q36" s="645" t="s">
        <v>567</v>
      </c>
      <c r="R36" s="983"/>
      <c r="S36" s="984" t="s">
        <v>543</v>
      </c>
      <c r="T36" s="771"/>
      <c r="U36" s="771"/>
      <c r="V36" s="646" t="s">
        <v>564</v>
      </c>
      <c r="W36" s="1002" t="s">
        <v>542</v>
      </c>
      <c r="X36" s="962"/>
      <c r="Y36" s="961" t="s">
        <v>217</v>
      </c>
      <c r="Z36" s="645" t="s">
        <v>567</v>
      </c>
    </row>
    <row r="37" spans="1:26" ht="12" customHeight="1" x14ac:dyDescent="0.25">
      <c r="A37" s="1003">
        <v>1</v>
      </c>
      <c r="B37" s="1206" t="s">
        <v>546</v>
      </c>
      <c r="C37" s="986" t="s">
        <v>705</v>
      </c>
      <c r="D37" s="987">
        <v>0</v>
      </c>
      <c r="E37" s="988">
        <v>1</v>
      </c>
      <c r="F37" s="999">
        <f>D37*E37</f>
        <v>0</v>
      </c>
      <c r="G37" s="968"/>
      <c r="H37" s="989"/>
      <c r="I37" s="267"/>
      <c r="J37" s="1003">
        <v>1</v>
      </c>
      <c r="K37" s="1203" t="s">
        <v>546</v>
      </c>
      <c r="L37" s="986" t="str">
        <f t="shared" ref="L37:N39" si="20">C37</f>
        <v>activity</v>
      </c>
      <c r="M37" s="987">
        <f t="shared" si="20"/>
        <v>0</v>
      </c>
      <c r="N37" s="988">
        <f t="shared" si="20"/>
        <v>1</v>
      </c>
      <c r="O37" s="999">
        <f>M37*N37</f>
        <v>0</v>
      </c>
      <c r="P37" s="968"/>
      <c r="Q37" s="989"/>
      <c r="R37" s="983"/>
      <c r="S37" s="1003">
        <v>1</v>
      </c>
      <c r="T37" s="1206" t="s">
        <v>546</v>
      </c>
      <c r="U37" s="986" t="str">
        <f t="shared" ref="U37:W39" si="21">L37</f>
        <v>activity</v>
      </c>
      <c r="V37" s="987">
        <f t="shared" si="21"/>
        <v>0</v>
      </c>
      <c r="W37" s="988">
        <f t="shared" si="21"/>
        <v>1</v>
      </c>
      <c r="X37" s="999">
        <f>V37*W37</f>
        <v>0</v>
      </c>
      <c r="Y37" s="968"/>
      <c r="Z37" s="989"/>
    </row>
    <row r="38" spans="1:26" ht="12" customHeight="1" x14ac:dyDescent="0.25">
      <c r="A38" s="1003">
        <v>2</v>
      </c>
      <c r="B38" s="1207"/>
      <c r="C38" s="915" t="s">
        <v>705</v>
      </c>
      <c r="D38" s="965">
        <v>0</v>
      </c>
      <c r="E38" s="992">
        <v>1</v>
      </c>
      <c r="F38" s="999">
        <f t="shared" ref="F38:F39" si="22">D38*E38</f>
        <v>0</v>
      </c>
      <c r="G38" s="968"/>
      <c r="H38" s="989"/>
      <c r="I38" s="267"/>
      <c r="J38" s="1003">
        <v>2</v>
      </c>
      <c r="K38" s="1204"/>
      <c r="L38" s="915" t="str">
        <f t="shared" si="20"/>
        <v>activity</v>
      </c>
      <c r="M38" s="965">
        <f t="shared" si="20"/>
        <v>0</v>
      </c>
      <c r="N38" s="992">
        <f t="shared" si="20"/>
        <v>1</v>
      </c>
      <c r="O38" s="999">
        <f t="shared" ref="O38:O39" si="23">M38*N38</f>
        <v>0</v>
      </c>
      <c r="P38" s="968"/>
      <c r="Q38" s="989"/>
      <c r="R38" s="983"/>
      <c r="S38" s="1003">
        <v>2</v>
      </c>
      <c r="T38" s="1207"/>
      <c r="U38" s="915" t="str">
        <f t="shared" si="21"/>
        <v>activity</v>
      </c>
      <c r="V38" s="965">
        <f t="shared" si="21"/>
        <v>0</v>
      </c>
      <c r="W38" s="992">
        <f t="shared" si="21"/>
        <v>1</v>
      </c>
      <c r="X38" s="999">
        <f t="shared" ref="X38:X39" si="24">V38*W38</f>
        <v>0</v>
      </c>
      <c r="Y38" s="968"/>
      <c r="Z38" s="989"/>
    </row>
    <row r="39" spans="1:26" ht="12" customHeight="1" thickBot="1" x14ac:dyDescent="0.3">
      <c r="A39" s="1003">
        <v>3</v>
      </c>
      <c r="B39" s="1207"/>
      <c r="C39" s="915" t="s">
        <v>705</v>
      </c>
      <c r="D39" s="965">
        <v>0</v>
      </c>
      <c r="E39" s="992">
        <v>1</v>
      </c>
      <c r="F39" s="999">
        <f t="shared" si="22"/>
        <v>0</v>
      </c>
      <c r="G39" s="968"/>
      <c r="H39" s="989"/>
      <c r="I39" s="267"/>
      <c r="J39" s="1003">
        <v>3</v>
      </c>
      <c r="K39" s="1204"/>
      <c r="L39" s="915" t="str">
        <f t="shared" si="20"/>
        <v>activity</v>
      </c>
      <c r="M39" s="965">
        <f t="shared" si="20"/>
        <v>0</v>
      </c>
      <c r="N39" s="992">
        <f t="shared" si="20"/>
        <v>1</v>
      </c>
      <c r="O39" s="999">
        <f t="shared" si="23"/>
        <v>0</v>
      </c>
      <c r="P39" s="968"/>
      <c r="Q39" s="989"/>
      <c r="R39" s="983"/>
      <c r="S39" s="1003">
        <v>3</v>
      </c>
      <c r="T39" s="1207"/>
      <c r="U39" s="915" t="str">
        <f t="shared" si="21"/>
        <v>activity</v>
      </c>
      <c r="V39" s="965">
        <f t="shared" si="21"/>
        <v>0</v>
      </c>
      <c r="W39" s="992">
        <f t="shared" si="21"/>
        <v>1</v>
      </c>
      <c r="X39" s="999">
        <f t="shared" si="24"/>
        <v>0</v>
      </c>
      <c r="Y39" s="968"/>
      <c r="Z39" s="989"/>
    </row>
    <row r="40" spans="1:26" ht="12" customHeight="1" thickBot="1" x14ac:dyDescent="0.3">
      <c r="A40" s="1006"/>
      <c r="B40" s="1208"/>
      <c r="C40" s="642"/>
      <c r="D40" s="1007"/>
      <c r="E40" s="1008"/>
      <c r="F40" s="1009"/>
      <c r="G40" s="996">
        <f>SUM(F37:F39)</f>
        <v>0</v>
      </c>
      <c r="H40" s="978">
        <f>G40*'F&amp;ARatesCalc'!J13</f>
        <v>0</v>
      </c>
      <c r="I40" s="267"/>
      <c r="J40" s="1006"/>
      <c r="K40" s="1205"/>
      <c r="L40" s="642"/>
      <c r="M40" s="1007"/>
      <c r="N40" s="1008"/>
      <c r="O40" s="1009"/>
      <c r="P40" s="996">
        <f>SUM(O37:O39)</f>
        <v>0</v>
      </c>
      <c r="Q40" s="978">
        <f>P40*'F&amp;ARatesCalc'!J19</f>
        <v>0</v>
      </c>
      <c r="R40" s="983"/>
      <c r="S40" s="1006"/>
      <c r="T40" s="1208"/>
      <c r="U40" s="642"/>
      <c r="V40" s="1007"/>
      <c r="W40" s="1008"/>
      <c r="X40" s="1009"/>
      <c r="Y40" s="996">
        <f>SUM(X37:X39)</f>
        <v>0</v>
      </c>
      <c r="Z40" s="978">
        <f>Y40*'F&amp;ARatesCalc'!J25</f>
        <v>0</v>
      </c>
    </row>
    <row r="41" spans="1:26" ht="8.25" customHeight="1" x14ac:dyDescent="0.25">
      <c r="A41" s="1010"/>
      <c r="B41" s="1011"/>
      <c r="C41" s="1010"/>
      <c r="D41" s="969"/>
      <c r="E41" s="1012"/>
      <c r="F41" s="1013"/>
      <c r="G41" s="983"/>
      <c r="H41" s="1005"/>
      <c r="I41" s="267"/>
      <c r="J41" s="1010"/>
      <c r="K41" s="1011"/>
      <c r="L41" s="1010"/>
      <c r="M41" s="969"/>
      <c r="N41" s="1012"/>
      <c r="O41" s="1013"/>
      <c r="P41" s="983"/>
      <c r="Q41" s="1005"/>
      <c r="R41" s="983"/>
      <c r="S41" s="1010"/>
      <c r="T41" s="1011"/>
      <c r="U41" s="1010"/>
      <c r="V41" s="969"/>
      <c r="W41" s="1012"/>
      <c r="X41" s="1013"/>
      <c r="Y41" s="983"/>
      <c r="Z41" s="1005"/>
    </row>
    <row r="42" spans="1:26" s="3" customFormat="1" ht="25.5" x14ac:dyDescent="0.25">
      <c r="A42" s="984" t="s">
        <v>544</v>
      </c>
      <c r="B42" s="771"/>
      <c r="C42" s="771"/>
      <c r="D42" s="646" t="s">
        <v>548</v>
      </c>
      <c r="E42" s="1002" t="s">
        <v>547</v>
      </c>
      <c r="F42" s="962"/>
      <c r="G42" s="961" t="s">
        <v>217</v>
      </c>
      <c r="H42" s="645" t="s">
        <v>567</v>
      </c>
      <c r="I42" s="267"/>
      <c r="J42" s="984" t="s">
        <v>544</v>
      </c>
      <c r="K42" s="771"/>
      <c r="L42" s="771"/>
      <c r="M42" s="646" t="s">
        <v>548</v>
      </c>
      <c r="N42" s="1002" t="s">
        <v>547</v>
      </c>
      <c r="O42" s="962"/>
      <c r="P42" s="961" t="s">
        <v>217</v>
      </c>
      <c r="Q42" s="645" t="s">
        <v>567</v>
      </c>
      <c r="R42" s="983"/>
      <c r="S42" s="984" t="s">
        <v>544</v>
      </c>
      <c r="T42" s="771"/>
      <c r="U42" s="771"/>
      <c r="V42" s="646" t="s">
        <v>548</v>
      </c>
      <c r="W42" s="1002" t="s">
        <v>547</v>
      </c>
      <c r="X42" s="962"/>
      <c r="Y42" s="961" t="s">
        <v>217</v>
      </c>
      <c r="Z42" s="645" t="s">
        <v>567</v>
      </c>
    </row>
    <row r="43" spans="1:26" ht="12" customHeight="1" x14ac:dyDescent="0.25">
      <c r="A43" s="1003">
        <v>1</v>
      </c>
      <c r="B43" s="1206" t="s">
        <v>545</v>
      </c>
      <c r="C43" s="986" t="s">
        <v>705</v>
      </c>
      <c r="D43" s="987">
        <v>0</v>
      </c>
      <c r="E43" s="988">
        <v>1</v>
      </c>
      <c r="F43" s="999">
        <f>D43*E43</f>
        <v>0</v>
      </c>
      <c r="G43" s="968"/>
      <c r="H43" s="989"/>
      <c r="I43" s="267"/>
      <c r="J43" s="1003">
        <v>1</v>
      </c>
      <c r="K43" s="1203" t="s">
        <v>545</v>
      </c>
      <c r="L43" s="986" t="str">
        <f t="shared" ref="L43:N45" si="25">C43</f>
        <v>activity</v>
      </c>
      <c r="M43" s="987">
        <f t="shared" si="25"/>
        <v>0</v>
      </c>
      <c r="N43" s="988">
        <f t="shared" si="25"/>
        <v>1</v>
      </c>
      <c r="O43" s="999">
        <f>M43*N43</f>
        <v>0</v>
      </c>
      <c r="P43" s="968"/>
      <c r="Q43" s="989"/>
      <c r="R43" s="983"/>
      <c r="S43" s="1003">
        <v>1</v>
      </c>
      <c r="T43" s="1206" t="s">
        <v>545</v>
      </c>
      <c r="U43" s="986" t="str">
        <f t="shared" ref="U43:W45" si="26">L43</f>
        <v>activity</v>
      </c>
      <c r="V43" s="987">
        <f t="shared" si="26"/>
        <v>0</v>
      </c>
      <c r="W43" s="988">
        <f t="shared" si="26"/>
        <v>1</v>
      </c>
      <c r="X43" s="999">
        <f>V43*W43</f>
        <v>0</v>
      </c>
      <c r="Y43" s="968"/>
      <c r="Z43" s="989"/>
    </row>
    <row r="44" spans="1:26" ht="12" customHeight="1" x14ac:dyDescent="0.25">
      <c r="A44" s="1003">
        <v>2</v>
      </c>
      <c r="B44" s="1207"/>
      <c r="C44" s="915" t="s">
        <v>705</v>
      </c>
      <c r="D44" s="965">
        <v>0</v>
      </c>
      <c r="E44" s="992">
        <v>1</v>
      </c>
      <c r="F44" s="999">
        <f t="shared" ref="F44:F45" si="27">D44*E44</f>
        <v>0</v>
      </c>
      <c r="G44" s="968"/>
      <c r="H44" s="989"/>
      <c r="I44" s="267"/>
      <c r="J44" s="1003">
        <v>2</v>
      </c>
      <c r="K44" s="1204"/>
      <c r="L44" s="915" t="str">
        <f t="shared" si="25"/>
        <v>activity</v>
      </c>
      <c r="M44" s="965">
        <f t="shared" si="25"/>
        <v>0</v>
      </c>
      <c r="N44" s="992">
        <f t="shared" si="25"/>
        <v>1</v>
      </c>
      <c r="O44" s="999">
        <f t="shared" ref="O44:O45" si="28">M44*N44</f>
        <v>0</v>
      </c>
      <c r="P44" s="968"/>
      <c r="Q44" s="989"/>
      <c r="R44" s="983"/>
      <c r="S44" s="1003">
        <v>2</v>
      </c>
      <c r="T44" s="1207"/>
      <c r="U44" s="915" t="str">
        <f t="shared" si="26"/>
        <v>activity</v>
      </c>
      <c r="V44" s="965">
        <f t="shared" si="26"/>
        <v>0</v>
      </c>
      <c r="W44" s="992">
        <f t="shared" si="26"/>
        <v>1</v>
      </c>
      <c r="X44" s="999">
        <f t="shared" ref="X44:X45" si="29">V44*W44</f>
        <v>0</v>
      </c>
      <c r="Y44" s="968"/>
      <c r="Z44" s="989"/>
    </row>
    <row r="45" spans="1:26" ht="12" customHeight="1" thickBot="1" x14ac:dyDescent="0.3">
      <c r="A45" s="1003">
        <v>3</v>
      </c>
      <c r="B45" s="1207"/>
      <c r="C45" s="915" t="s">
        <v>705</v>
      </c>
      <c r="D45" s="965">
        <v>0</v>
      </c>
      <c r="E45" s="992">
        <v>1</v>
      </c>
      <c r="F45" s="999">
        <f t="shared" si="27"/>
        <v>0</v>
      </c>
      <c r="G45" s="968"/>
      <c r="H45" s="989"/>
      <c r="I45" s="267"/>
      <c r="J45" s="1003">
        <v>3</v>
      </c>
      <c r="K45" s="1204"/>
      <c r="L45" s="915" t="str">
        <f t="shared" si="25"/>
        <v>activity</v>
      </c>
      <c r="M45" s="965">
        <f t="shared" si="25"/>
        <v>0</v>
      </c>
      <c r="N45" s="992">
        <f t="shared" si="25"/>
        <v>1</v>
      </c>
      <c r="O45" s="999">
        <f t="shared" si="28"/>
        <v>0</v>
      </c>
      <c r="P45" s="968"/>
      <c r="Q45" s="989"/>
      <c r="R45" s="983"/>
      <c r="S45" s="1003">
        <v>3</v>
      </c>
      <c r="T45" s="1207"/>
      <c r="U45" s="915" t="str">
        <f t="shared" si="26"/>
        <v>activity</v>
      </c>
      <c r="V45" s="965">
        <f t="shared" si="26"/>
        <v>0</v>
      </c>
      <c r="W45" s="992">
        <f t="shared" si="26"/>
        <v>1</v>
      </c>
      <c r="X45" s="999">
        <f t="shared" si="29"/>
        <v>0</v>
      </c>
      <c r="Y45" s="968"/>
      <c r="Z45" s="989"/>
    </row>
    <row r="46" spans="1:26" ht="12" customHeight="1" thickBot="1" x14ac:dyDescent="0.3">
      <c r="A46" s="1006"/>
      <c r="B46" s="1208"/>
      <c r="C46" s="642"/>
      <c r="D46" s="1007"/>
      <c r="E46" s="1008"/>
      <c r="F46" s="1009"/>
      <c r="G46" s="996">
        <f>SUM(F43:F45)</f>
        <v>0</v>
      </c>
      <c r="H46" s="978">
        <f>G46*'F&amp;ARatesCalc'!J13</f>
        <v>0</v>
      </c>
      <c r="I46" s="267"/>
      <c r="J46" s="1006"/>
      <c r="K46" s="1205"/>
      <c r="L46" s="642"/>
      <c r="M46" s="1007"/>
      <c r="N46" s="1008"/>
      <c r="O46" s="1009"/>
      <c r="P46" s="996">
        <f>SUM(O43:O45)</f>
        <v>0</v>
      </c>
      <c r="Q46" s="978">
        <f>P46*'F&amp;ARatesCalc'!J19</f>
        <v>0</v>
      </c>
      <c r="R46" s="983"/>
      <c r="S46" s="1006"/>
      <c r="T46" s="1208"/>
      <c r="U46" s="642"/>
      <c r="V46" s="1007"/>
      <c r="W46" s="1008"/>
      <c r="X46" s="1009"/>
      <c r="Y46" s="996">
        <f>SUM(X43:X45)</f>
        <v>0</v>
      </c>
      <c r="Z46" s="978">
        <f>Y46*'F&amp;ARatesCalc'!J25</f>
        <v>0</v>
      </c>
    </row>
    <row r="47" spans="1:26" ht="8.25" customHeight="1" x14ac:dyDescent="0.25">
      <c r="A47" s="979"/>
      <c r="B47" s="979"/>
      <c r="C47" s="979"/>
      <c r="D47" s="980"/>
      <c r="E47" s="981"/>
      <c r="F47" s="982"/>
      <c r="G47" s="1001"/>
      <c r="H47" s="989"/>
      <c r="I47" s="267"/>
      <c r="J47" s="979"/>
      <c r="K47" s="979"/>
      <c r="L47" s="979"/>
      <c r="M47" s="980"/>
      <c r="N47" s="981"/>
      <c r="O47" s="982"/>
      <c r="P47" s="1001"/>
      <c r="Q47" s="989"/>
      <c r="R47" s="1001"/>
      <c r="S47" s="979"/>
      <c r="T47" s="979"/>
      <c r="U47" s="979"/>
      <c r="V47" s="980"/>
      <c r="W47" s="981"/>
      <c r="X47" s="982"/>
      <c r="Y47" s="1001"/>
      <c r="Z47" s="989"/>
    </row>
    <row r="48" spans="1:26" s="3" customFormat="1" ht="25.5" x14ac:dyDescent="0.25">
      <c r="A48" s="984" t="s">
        <v>219</v>
      </c>
      <c r="B48" s="771"/>
      <c r="C48" s="771"/>
      <c r="D48" s="646" t="s">
        <v>473</v>
      </c>
      <c r="E48" s="961" t="s">
        <v>474</v>
      </c>
      <c r="F48" s="962"/>
      <c r="G48" s="961" t="s">
        <v>217</v>
      </c>
      <c r="H48" s="645" t="s">
        <v>567</v>
      </c>
      <c r="I48" s="267"/>
      <c r="J48" s="984" t="s">
        <v>219</v>
      </c>
      <c r="K48" s="771"/>
      <c r="L48" s="771"/>
      <c r="M48" s="646" t="s">
        <v>473</v>
      </c>
      <c r="N48" s="961" t="s">
        <v>474</v>
      </c>
      <c r="O48" s="962"/>
      <c r="P48" s="961" t="s">
        <v>217</v>
      </c>
      <c r="Q48" s="645" t="s">
        <v>567</v>
      </c>
      <c r="R48" s="267"/>
      <c r="S48" s="984" t="s">
        <v>219</v>
      </c>
      <c r="T48" s="771"/>
      <c r="U48" s="771"/>
      <c r="V48" s="646" t="s">
        <v>473</v>
      </c>
      <c r="W48" s="961" t="s">
        <v>474</v>
      </c>
      <c r="X48" s="962"/>
      <c r="Y48" s="961" t="s">
        <v>217</v>
      </c>
      <c r="Z48" s="645" t="s">
        <v>567</v>
      </c>
    </row>
    <row r="49" spans="1:26" ht="12" customHeight="1" x14ac:dyDescent="0.25">
      <c r="A49" s="1003">
        <v>1</v>
      </c>
      <c r="B49" s="1209" t="s">
        <v>215</v>
      </c>
      <c r="C49" s="986" t="s">
        <v>703</v>
      </c>
      <c r="D49" s="987">
        <v>0</v>
      </c>
      <c r="E49" s="988">
        <v>1</v>
      </c>
      <c r="F49" s="967">
        <f>D49*E49</f>
        <v>0</v>
      </c>
      <c r="G49" s="968"/>
      <c r="H49" s="989"/>
      <c r="I49" s="267"/>
      <c r="J49" s="1003">
        <v>1</v>
      </c>
      <c r="K49" s="1209" t="s">
        <v>215</v>
      </c>
      <c r="L49" s="986" t="str">
        <f t="shared" ref="L49:N53" si="30">C49</f>
        <v>item</v>
      </c>
      <c r="M49" s="987">
        <f t="shared" si="30"/>
        <v>0</v>
      </c>
      <c r="N49" s="988">
        <f t="shared" si="30"/>
        <v>1</v>
      </c>
      <c r="O49" s="967">
        <f>M49*N49</f>
        <v>0</v>
      </c>
      <c r="P49" s="968"/>
      <c r="Q49" s="989"/>
      <c r="R49" s="267"/>
      <c r="S49" s="1003">
        <v>1</v>
      </c>
      <c r="T49" s="1209" t="s">
        <v>215</v>
      </c>
      <c r="U49" s="986" t="str">
        <f t="shared" ref="U49:W53" si="31">L49</f>
        <v>item</v>
      </c>
      <c r="V49" s="987">
        <f t="shared" si="31"/>
        <v>0</v>
      </c>
      <c r="W49" s="988">
        <f t="shared" si="31"/>
        <v>1</v>
      </c>
      <c r="X49" s="967">
        <f>V49*W49</f>
        <v>0</v>
      </c>
      <c r="Y49" s="968"/>
      <c r="Z49" s="989"/>
    </row>
    <row r="50" spans="1:26" ht="12" customHeight="1" x14ac:dyDescent="0.25">
      <c r="A50" s="964">
        <v>2</v>
      </c>
      <c r="B50" s="1210"/>
      <c r="C50" s="915" t="s">
        <v>703</v>
      </c>
      <c r="D50" s="965">
        <v>0</v>
      </c>
      <c r="E50" s="988">
        <v>1</v>
      </c>
      <c r="F50" s="967">
        <f t="shared" ref="F50:F53" si="32">D50*E50</f>
        <v>0</v>
      </c>
      <c r="G50" s="968"/>
      <c r="H50" s="989"/>
      <c r="I50" s="267"/>
      <c r="J50" s="964">
        <v>2</v>
      </c>
      <c r="K50" s="1210"/>
      <c r="L50" s="915" t="str">
        <f t="shared" si="30"/>
        <v>item</v>
      </c>
      <c r="M50" s="965">
        <f t="shared" si="30"/>
        <v>0</v>
      </c>
      <c r="N50" s="988">
        <f t="shared" si="30"/>
        <v>1</v>
      </c>
      <c r="O50" s="967">
        <f t="shared" ref="O50:O53" si="33">M50*N50</f>
        <v>0</v>
      </c>
      <c r="P50" s="968"/>
      <c r="Q50" s="989"/>
      <c r="R50" s="267"/>
      <c r="S50" s="964">
        <v>2</v>
      </c>
      <c r="T50" s="1210"/>
      <c r="U50" s="915" t="str">
        <f t="shared" si="31"/>
        <v>item</v>
      </c>
      <c r="V50" s="965">
        <f t="shared" si="31"/>
        <v>0</v>
      </c>
      <c r="W50" s="988">
        <f t="shared" si="31"/>
        <v>1</v>
      </c>
      <c r="X50" s="967">
        <f t="shared" ref="X50:X53" si="34">V50*W50</f>
        <v>0</v>
      </c>
      <c r="Y50" s="968"/>
      <c r="Z50" s="989"/>
    </row>
    <row r="51" spans="1:26" ht="12" customHeight="1" x14ac:dyDescent="0.25">
      <c r="A51" s="964">
        <v>3</v>
      </c>
      <c r="B51" s="1210"/>
      <c r="C51" s="915" t="s">
        <v>703</v>
      </c>
      <c r="D51" s="965">
        <v>0</v>
      </c>
      <c r="E51" s="992">
        <v>1</v>
      </c>
      <c r="F51" s="967">
        <f t="shared" si="32"/>
        <v>0</v>
      </c>
      <c r="G51" s="968"/>
      <c r="H51" s="989"/>
      <c r="I51" s="267"/>
      <c r="J51" s="964">
        <v>3</v>
      </c>
      <c r="K51" s="1210"/>
      <c r="L51" s="915" t="str">
        <f t="shared" si="30"/>
        <v>item</v>
      </c>
      <c r="M51" s="965">
        <f t="shared" si="30"/>
        <v>0</v>
      </c>
      <c r="N51" s="992">
        <f t="shared" si="30"/>
        <v>1</v>
      </c>
      <c r="O51" s="967">
        <f t="shared" si="33"/>
        <v>0</v>
      </c>
      <c r="P51" s="968"/>
      <c r="Q51" s="989"/>
      <c r="R51" s="267"/>
      <c r="S51" s="964">
        <v>3</v>
      </c>
      <c r="T51" s="1210"/>
      <c r="U51" s="915" t="str">
        <f t="shared" si="31"/>
        <v>item</v>
      </c>
      <c r="V51" s="965">
        <f t="shared" si="31"/>
        <v>0</v>
      </c>
      <c r="W51" s="992">
        <f t="shared" si="31"/>
        <v>1</v>
      </c>
      <c r="X51" s="967">
        <f t="shared" si="34"/>
        <v>0</v>
      </c>
      <c r="Y51" s="968"/>
      <c r="Z51" s="989"/>
    </row>
    <row r="52" spans="1:26" ht="12" customHeight="1" x14ac:dyDescent="0.25">
      <c r="A52" s="964">
        <v>4</v>
      </c>
      <c r="B52" s="1210"/>
      <c r="C52" s="915" t="s">
        <v>703</v>
      </c>
      <c r="D52" s="987">
        <v>0</v>
      </c>
      <c r="E52" s="988">
        <v>1</v>
      </c>
      <c r="F52" s="967">
        <f t="shared" si="32"/>
        <v>0</v>
      </c>
      <c r="G52" s="968"/>
      <c r="H52" s="989"/>
      <c r="I52" s="267"/>
      <c r="J52" s="964">
        <v>4</v>
      </c>
      <c r="K52" s="1210"/>
      <c r="L52" s="915" t="str">
        <f t="shared" si="30"/>
        <v>item</v>
      </c>
      <c r="M52" s="987">
        <f t="shared" si="30"/>
        <v>0</v>
      </c>
      <c r="N52" s="988">
        <f t="shared" si="30"/>
        <v>1</v>
      </c>
      <c r="O52" s="967">
        <f t="shared" si="33"/>
        <v>0</v>
      </c>
      <c r="P52" s="968"/>
      <c r="Q52" s="989"/>
      <c r="R52" s="267"/>
      <c r="S52" s="964">
        <v>4</v>
      </c>
      <c r="T52" s="1210"/>
      <c r="U52" s="915" t="str">
        <f t="shared" si="31"/>
        <v>item</v>
      </c>
      <c r="V52" s="987">
        <f t="shared" si="31"/>
        <v>0</v>
      </c>
      <c r="W52" s="988">
        <f t="shared" si="31"/>
        <v>1</v>
      </c>
      <c r="X52" s="967">
        <f t="shared" si="34"/>
        <v>0</v>
      </c>
      <c r="Y52" s="968"/>
      <c r="Z52" s="989"/>
    </row>
    <row r="53" spans="1:26" ht="12" customHeight="1" thickBot="1" x14ac:dyDescent="0.3">
      <c r="A53" s="964">
        <v>5</v>
      </c>
      <c r="B53" s="1210"/>
      <c r="C53" s="915" t="s">
        <v>703</v>
      </c>
      <c r="D53" s="965">
        <v>0</v>
      </c>
      <c r="E53" s="992">
        <v>1</v>
      </c>
      <c r="F53" s="967">
        <f t="shared" si="32"/>
        <v>0</v>
      </c>
      <c r="G53" s="968"/>
      <c r="H53" s="989"/>
      <c r="I53" s="267"/>
      <c r="J53" s="964">
        <v>5</v>
      </c>
      <c r="K53" s="1210"/>
      <c r="L53" s="915" t="str">
        <f t="shared" si="30"/>
        <v>item</v>
      </c>
      <c r="M53" s="965">
        <f t="shared" si="30"/>
        <v>0</v>
      </c>
      <c r="N53" s="992">
        <f t="shared" si="30"/>
        <v>1</v>
      </c>
      <c r="O53" s="967">
        <f t="shared" si="33"/>
        <v>0</v>
      </c>
      <c r="P53" s="968"/>
      <c r="Q53" s="989"/>
      <c r="R53" s="267"/>
      <c r="S53" s="964">
        <v>5</v>
      </c>
      <c r="T53" s="1210"/>
      <c r="U53" s="915" t="str">
        <f t="shared" si="31"/>
        <v>item</v>
      </c>
      <c r="V53" s="965">
        <f t="shared" si="31"/>
        <v>0</v>
      </c>
      <c r="W53" s="992">
        <f t="shared" si="31"/>
        <v>1</v>
      </c>
      <c r="X53" s="967">
        <f t="shared" si="34"/>
        <v>0</v>
      </c>
      <c r="Y53" s="968"/>
      <c r="Z53" s="989"/>
    </row>
    <row r="54" spans="1:26" ht="12" customHeight="1" thickBot="1" x14ac:dyDescent="0.3">
      <c r="A54" s="972"/>
      <c r="B54" s="1211"/>
      <c r="C54" s="973"/>
      <c r="D54" s="974"/>
      <c r="E54" s="975"/>
      <c r="F54" s="976"/>
      <c r="G54" s="996">
        <f>SUM(F49:F53)</f>
        <v>0</v>
      </c>
      <c r="H54" s="978">
        <f>G54*'F&amp;ARatesCalc'!J13</f>
        <v>0</v>
      </c>
      <c r="I54" s="267"/>
      <c r="J54" s="972"/>
      <c r="K54" s="1211"/>
      <c r="L54" s="973"/>
      <c r="M54" s="974"/>
      <c r="N54" s="975"/>
      <c r="O54" s="976"/>
      <c r="P54" s="996">
        <f>SUM(O49:O53)</f>
        <v>0</v>
      </c>
      <c r="Q54" s="978">
        <f>P54*'F&amp;ARatesCalc'!J19</f>
        <v>0</v>
      </c>
      <c r="R54" s="267"/>
      <c r="S54" s="972"/>
      <c r="T54" s="1211"/>
      <c r="U54" s="973"/>
      <c r="V54" s="974"/>
      <c r="W54" s="975"/>
      <c r="X54" s="976"/>
      <c r="Y54" s="996">
        <f>SUM(X49:X53)</f>
        <v>0</v>
      </c>
      <c r="Z54" s="978">
        <f>Y54*'F&amp;ARatesCalc'!J25</f>
        <v>0</v>
      </c>
    </row>
    <row r="55" spans="1:26" ht="8.25" customHeight="1" x14ac:dyDescent="0.25">
      <c r="A55" s="979"/>
      <c r="B55" s="979"/>
      <c r="C55" s="979"/>
      <c r="D55" s="980"/>
      <c r="E55" s="981"/>
      <c r="F55" s="982"/>
      <c r="G55" s="1001"/>
      <c r="H55" s="989"/>
      <c r="I55" s="267"/>
      <c r="J55" s="979"/>
      <c r="K55" s="979"/>
      <c r="L55" s="979"/>
      <c r="M55" s="980"/>
      <c r="N55" s="981"/>
      <c r="O55" s="982"/>
      <c r="P55" s="1001"/>
      <c r="Q55" s="989"/>
      <c r="R55" s="267"/>
      <c r="S55" s="979"/>
      <c r="T55" s="979"/>
      <c r="U55" s="979"/>
      <c r="V55" s="980"/>
      <c r="W55" s="981"/>
      <c r="X55" s="982"/>
      <c r="Y55" s="1001"/>
      <c r="Z55" s="989"/>
    </row>
    <row r="56" spans="1:26" s="3" customFormat="1" ht="25.5" x14ac:dyDescent="0.25">
      <c r="A56" s="984" t="s">
        <v>205</v>
      </c>
      <c r="B56" s="771"/>
      <c r="C56" s="771"/>
      <c r="D56" s="646" t="s">
        <v>565</v>
      </c>
      <c r="E56" s="961" t="s">
        <v>474</v>
      </c>
      <c r="F56" s="962"/>
      <c r="G56" s="961" t="s">
        <v>217</v>
      </c>
      <c r="H56" s="645" t="s">
        <v>567</v>
      </c>
      <c r="I56" s="267"/>
      <c r="J56" s="984" t="s">
        <v>205</v>
      </c>
      <c r="K56" s="771"/>
      <c r="L56" s="771"/>
      <c r="M56" s="646" t="s">
        <v>565</v>
      </c>
      <c r="N56" s="961" t="s">
        <v>474</v>
      </c>
      <c r="O56" s="962"/>
      <c r="P56" s="961" t="s">
        <v>217</v>
      </c>
      <c r="Q56" s="645" t="s">
        <v>567</v>
      </c>
      <c r="R56" s="267"/>
      <c r="S56" s="984" t="s">
        <v>205</v>
      </c>
      <c r="T56" s="771"/>
      <c r="U56" s="771"/>
      <c r="V56" s="646" t="s">
        <v>565</v>
      </c>
      <c r="W56" s="961" t="s">
        <v>474</v>
      </c>
      <c r="X56" s="962"/>
      <c r="Y56" s="961" t="s">
        <v>217</v>
      </c>
      <c r="Z56" s="645" t="s">
        <v>567</v>
      </c>
    </row>
    <row r="57" spans="1:26" ht="12" customHeight="1" x14ac:dyDescent="0.25">
      <c r="A57" s="964">
        <v>1</v>
      </c>
      <c r="B57" s="1209" t="s">
        <v>212</v>
      </c>
      <c r="C57" s="986" t="s">
        <v>706</v>
      </c>
      <c r="D57" s="987">
        <v>0</v>
      </c>
      <c r="E57" s="988">
        <v>1</v>
      </c>
      <c r="F57" s="999">
        <f>D57*E57</f>
        <v>0</v>
      </c>
      <c r="G57" s="968"/>
      <c r="H57" s="989"/>
      <c r="I57" s="267"/>
      <c r="J57" s="964">
        <v>1</v>
      </c>
      <c r="K57" s="1209" t="s">
        <v>212</v>
      </c>
      <c r="L57" s="986" t="str">
        <f t="shared" ref="L57:N58" si="35">C57</f>
        <v>publication</v>
      </c>
      <c r="M57" s="987">
        <f t="shared" si="35"/>
        <v>0</v>
      </c>
      <c r="N57" s="988">
        <f t="shared" si="35"/>
        <v>1</v>
      </c>
      <c r="O57" s="999">
        <f>M57*N57</f>
        <v>0</v>
      </c>
      <c r="P57" s="968"/>
      <c r="Q57" s="989"/>
      <c r="R57" s="267"/>
      <c r="S57" s="964">
        <v>1</v>
      </c>
      <c r="T57" s="1209" t="s">
        <v>212</v>
      </c>
      <c r="U57" s="986" t="str">
        <f t="shared" ref="U57:W58" si="36">L57</f>
        <v>publication</v>
      </c>
      <c r="V57" s="987">
        <f t="shared" si="36"/>
        <v>0</v>
      </c>
      <c r="W57" s="988">
        <f t="shared" si="36"/>
        <v>1</v>
      </c>
      <c r="X57" s="999">
        <f>V57*W57</f>
        <v>0</v>
      </c>
      <c r="Y57" s="968"/>
      <c r="Z57" s="989"/>
    </row>
    <row r="58" spans="1:26" ht="12" customHeight="1" thickBot="1" x14ac:dyDescent="0.3">
      <c r="A58" s="964">
        <v>2</v>
      </c>
      <c r="B58" s="1210"/>
      <c r="C58" s="915" t="s">
        <v>706</v>
      </c>
      <c r="D58" s="965">
        <v>0</v>
      </c>
      <c r="E58" s="992">
        <v>1</v>
      </c>
      <c r="F58" s="999">
        <f>D58*E58</f>
        <v>0</v>
      </c>
      <c r="G58" s="968"/>
      <c r="H58" s="989"/>
      <c r="I58" s="267"/>
      <c r="J58" s="964">
        <v>2</v>
      </c>
      <c r="K58" s="1210"/>
      <c r="L58" s="915" t="str">
        <f t="shared" si="35"/>
        <v>publication</v>
      </c>
      <c r="M58" s="965">
        <f t="shared" si="35"/>
        <v>0</v>
      </c>
      <c r="N58" s="992">
        <f t="shared" si="35"/>
        <v>1</v>
      </c>
      <c r="O58" s="999">
        <f>M58*N58</f>
        <v>0</v>
      </c>
      <c r="P58" s="968"/>
      <c r="Q58" s="989"/>
      <c r="R58" s="267"/>
      <c r="S58" s="964">
        <v>2</v>
      </c>
      <c r="T58" s="1210"/>
      <c r="U58" s="915" t="str">
        <f t="shared" si="36"/>
        <v>publication</v>
      </c>
      <c r="V58" s="965">
        <f t="shared" si="36"/>
        <v>0</v>
      </c>
      <c r="W58" s="992">
        <f t="shared" si="36"/>
        <v>1</v>
      </c>
      <c r="X58" s="999">
        <f>V58*W58</f>
        <v>0</v>
      </c>
      <c r="Y58" s="968"/>
      <c r="Z58" s="989"/>
    </row>
    <row r="59" spans="1:26" ht="12" customHeight="1" thickBot="1" x14ac:dyDescent="0.3">
      <c r="A59" s="972"/>
      <c r="B59" s="1211"/>
      <c r="C59" s="973"/>
      <c r="D59" s="974"/>
      <c r="E59" s="975"/>
      <c r="F59" s="976"/>
      <c r="G59" s="996">
        <f>SUM(F57:F58)</f>
        <v>0</v>
      </c>
      <c r="H59" s="978">
        <f>G59*'F&amp;ARatesCalc'!J13</f>
        <v>0</v>
      </c>
      <c r="I59" s="267"/>
      <c r="J59" s="972"/>
      <c r="K59" s="1211"/>
      <c r="L59" s="973"/>
      <c r="M59" s="974"/>
      <c r="N59" s="975"/>
      <c r="O59" s="976"/>
      <c r="P59" s="996">
        <f>SUM(O57:O58)</f>
        <v>0</v>
      </c>
      <c r="Q59" s="978">
        <f>P59*'F&amp;ARatesCalc'!J19</f>
        <v>0</v>
      </c>
      <c r="R59" s="267"/>
      <c r="S59" s="972"/>
      <c r="T59" s="1211"/>
      <c r="U59" s="973"/>
      <c r="V59" s="974"/>
      <c r="W59" s="975"/>
      <c r="X59" s="976"/>
      <c r="Y59" s="996">
        <f>SUM(X57:X58)</f>
        <v>0</v>
      </c>
      <c r="Z59" s="978">
        <f>Y59*'F&amp;ARatesCalc'!J25</f>
        <v>0</v>
      </c>
    </row>
    <row r="60" spans="1:26" ht="8.25" customHeight="1" x14ac:dyDescent="0.25">
      <c r="A60" s="979"/>
      <c r="B60" s="979"/>
      <c r="C60" s="979"/>
      <c r="D60" s="980"/>
      <c r="E60" s="981"/>
      <c r="F60" s="982"/>
      <c r="G60" s="1001"/>
      <c r="H60" s="989"/>
      <c r="I60" s="267"/>
      <c r="J60" s="979"/>
      <c r="K60" s="979"/>
      <c r="L60" s="979"/>
      <c r="M60" s="980"/>
      <c r="N60" s="981"/>
      <c r="O60" s="982"/>
      <c r="P60" s="1001"/>
      <c r="Q60" s="989"/>
      <c r="R60" s="267"/>
      <c r="S60" s="979"/>
      <c r="T60" s="979"/>
      <c r="U60" s="979"/>
      <c r="V60" s="980"/>
      <c r="W60" s="981"/>
      <c r="X60" s="982"/>
      <c r="Y60" s="1001"/>
      <c r="Z60" s="989"/>
    </row>
    <row r="61" spans="1:26" s="3" customFormat="1" ht="25.5" x14ac:dyDescent="0.25">
      <c r="A61" s="984" t="s">
        <v>220</v>
      </c>
      <c r="B61" s="771"/>
      <c r="C61" s="771"/>
      <c r="D61" s="646" t="s">
        <v>565</v>
      </c>
      <c r="E61" s="1002" t="s">
        <v>566</v>
      </c>
      <c r="F61" s="962"/>
      <c r="G61" s="961" t="s">
        <v>217</v>
      </c>
      <c r="H61" s="645" t="s">
        <v>567</v>
      </c>
      <c r="I61" s="267"/>
      <c r="J61" s="984" t="s">
        <v>220</v>
      </c>
      <c r="K61" s="771"/>
      <c r="L61" s="771"/>
      <c r="M61" s="646" t="s">
        <v>565</v>
      </c>
      <c r="N61" s="1002" t="s">
        <v>566</v>
      </c>
      <c r="O61" s="962"/>
      <c r="P61" s="961" t="s">
        <v>217</v>
      </c>
      <c r="Q61" s="645" t="s">
        <v>567</v>
      </c>
      <c r="R61" s="267"/>
      <c r="S61" s="984" t="s">
        <v>220</v>
      </c>
      <c r="T61" s="771"/>
      <c r="U61" s="771"/>
      <c r="V61" s="646" t="s">
        <v>565</v>
      </c>
      <c r="W61" s="1002" t="s">
        <v>566</v>
      </c>
      <c r="X61" s="962"/>
      <c r="Y61" s="961" t="s">
        <v>217</v>
      </c>
      <c r="Z61" s="645" t="s">
        <v>567</v>
      </c>
    </row>
    <row r="62" spans="1:26" ht="12" customHeight="1" x14ac:dyDescent="0.25">
      <c r="A62" s="964">
        <v>1</v>
      </c>
      <c r="B62" s="1212" t="s">
        <v>246</v>
      </c>
      <c r="C62" s="986" t="s">
        <v>707</v>
      </c>
      <c r="D62" s="965">
        <v>0</v>
      </c>
      <c r="E62" s="988">
        <v>1</v>
      </c>
      <c r="F62" s="999">
        <f>D62*E62</f>
        <v>0</v>
      </c>
      <c r="G62" s="968"/>
      <c r="H62" s="989"/>
      <c r="I62" s="267"/>
      <c r="J62" s="964">
        <v>1</v>
      </c>
      <c r="K62" s="1212" t="s">
        <v>246</v>
      </c>
      <c r="L62" s="986" t="str">
        <f t="shared" ref="L62:N63" si="37">C62</f>
        <v>name</v>
      </c>
      <c r="M62" s="965">
        <f t="shared" si="37"/>
        <v>0</v>
      </c>
      <c r="N62" s="988">
        <f t="shared" si="37"/>
        <v>1</v>
      </c>
      <c r="O62" s="999">
        <f>M62*N62</f>
        <v>0</v>
      </c>
      <c r="P62" s="968"/>
      <c r="Q62" s="989"/>
      <c r="R62" s="267"/>
      <c r="S62" s="964">
        <v>1</v>
      </c>
      <c r="T62" s="1212" t="s">
        <v>246</v>
      </c>
      <c r="U62" s="986" t="str">
        <f t="shared" ref="U62:W63" si="38">L62</f>
        <v>name</v>
      </c>
      <c r="V62" s="965">
        <f t="shared" si="38"/>
        <v>0</v>
      </c>
      <c r="W62" s="988">
        <f t="shared" si="38"/>
        <v>1</v>
      </c>
      <c r="X62" s="999">
        <f>V62*W62</f>
        <v>0</v>
      </c>
      <c r="Y62" s="968"/>
      <c r="Z62" s="989"/>
    </row>
    <row r="63" spans="1:26" ht="12" customHeight="1" thickBot="1" x14ac:dyDescent="0.3">
      <c r="A63" s="964">
        <v>2</v>
      </c>
      <c r="B63" s="1213"/>
      <c r="C63" s="915" t="s">
        <v>707</v>
      </c>
      <c r="D63" s="965">
        <v>0</v>
      </c>
      <c r="E63" s="992">
        <v>1</v>
      </c>
      <c r="F63" s="999">
        <f>D63*E63</f>
        <v>0</v>
      </c>
      <c r="G63" s="968"/>
      <c r="H63" s="989"/>
      <c r="I63" s="267"/>
      <c r="J63" s="964">
        <v>2</v>
      </c>
      <c r="K63" s="1213"/>
      <c r="L63" s="915" t="str">
        <f t="shared" si="37"/>
        <v>name</v>
      </c>
      <c r="M63" s="965">
        <f t="shared" si="37"/>
        <v>0</v>
      </c>
      <c r="N63" s="992">
        <f t="shared" si="37"/>
        <v>1</v>
      </c>
      <c r="O63" s="999">
        <f>M63*N63</f>
        <v>0</v>
      </c>
      <c r="P63" s="968"/>
      <c r="Q63" s="989"/>
      <c r="R63" s="267"/>
      <c r="S63" s="964">
        <v>2</v>
      </c>
      <c r="T63" s="1213"/>
      <c r="U63" s="915" t="str">
        <f t="shared" si="38"/>
        <v>name</v>
      </c>
      <c r="V63" s="965">
        <f t="shared" si="38"/>
        <v>0</v>
      </c>
      <c r="W63" s="992">
        <f t="shared" si="38"/>
        <v>1</v>
      </c>
      <c r="X63" s="999">
        <f>V63*W63</f>
        <v>0</v>
      </c>
      <c r="Y63" s="968"/>
      <c r="Z63" s="989"/>
    </row>
    <row r="64" spans="1:26" ht="12" customHeight="1" thickBot="1" x14ac:dyDescent="0.3">
      <c r="A64" s="972"/>
      <c r="B64" s="1214"/>
      <c r="C64" s="973"/>
      <c r="D64" s="974"/>
      <c r="E64" s="975"/>
      <c r="F64" s="976"/>
      <c r="G64" s="996">
        <f>SUM(F62:F63)</f>
        <v>0</v>
      </c>
      <c r="H64" s="978">
        <f>G64*'F&amp;ARatesCalc'!J13</f>
        <v>0</v>
      </c>
      <c r="I64" s="267"/>
      <c r="J64" s="972"/>
      <c r="K64" s="1214"/>
      <c r="L64" s="973"/>
      <c r="M64" s="974"/>
      <c r="N64" s="975"/>
      <c r="O64" s="976"/>
      <c r="P64" s="996">
        <f>SUM(O62:O63)</f>
        <v>0</v>
      </c>
      <c r="Q64" s="978">
        <f>P64*'F&amp;ARatesCalc'!J19</f>
        <v>0</v>
      </c>
      <c r="R64" s="267"/>
      <c r="S64" s="972"/>
      <c r="T64" s="1214"/>
      <c r="U64" s="973"/>
      <c r="V64" s="974"/>
      <c r="W64" s="975"/>
      <c r="X64" s="976"/>
      <c r="Y64" s="996">
        <f>SUM(X62:X63)</f>
        <v>0</v>
      </c>
      <c r="Z64" s="978">
        <f>Y64*'F&amp;ARatesCalc'!J25</f>
        <v>0</v>
      </c>
    </row>
    <row r="65" spans="1:26" ht="8.25" customHeight="1" x14ac:dyDescent="0.25">
      <c r="A65" s="979"/>
      <c r="B65" s="979"/>
      <c r="C65" s="979"/>
      <c r="D65" s="980"/>
      <c r="E65" s="981"/>
      <c r="F65" s="982"/>
      <c r="G65" s="1001"/>
      <c r="H65" s="989"/>
      <c r="I65" s="267"/>
      <c r="J65" s="979"/>
      <c r="K65" s="979"/>
      <c r="L65" s="979"/>
      <c r="M65" s="980"/>
      <c r="N65" s="981"/>
      <c r="O65" s="982"/>
      <c r="P65" s="1001"/>
      <c r="Q65" s="989"/>
      <c r="R65" s="267"/>
      <c r="S65" s="979"/>
      <c r="T65" s="979"/>
      <c r="U65" s="979"/>
      <c r="V65" s="980"/>
      <c r="W65" s="981"/>
      <c r="X65" s="982"/>
      <c r="Y65" s="1001"/>
      <c r="Z65" s="989"/>
    </row>
    <row r="66" spans="1:26" s="3" customFormat="1" ht="25.5" x14ac:dyDescent="0.25">
      <c r="A66" s="984" t="s">
        <v>206</v>
      </c>
      <c r="B66" s="771"/>
      <c r="C66" s="771"/>
      <c r="D66" s="647" t="s">
        <v>420</v>
      </c>
      <c r="E66" s="961" t="s">
        <v>480</v>
      </c>
      <c r="F66" s="962"/>
      <c r="G66" s="961" t="s">
        <v>217</v>
      </c>
      <c r="H66" s="645" t="s">
        <v>567</v>
      </c>
      <c r="I66" s="267"/>
      <c r="J66" s="984" t="s">
        <v>206</v>
      </c>
      <c r="K66" s="771"/>
      <c r="L66" s="771"/>
      <c r="M66" s="647" t="s">
        <v>420</v>
      </c>
      <c r="N66" s="961" t="s">
        <v>480</v>
      </c>
      <c r="O66" s="962"/>
      <c r="P66" s="961" t="s">
        <v>217</v>
      </c>
      <c r="Q66" s="645" t="s">
        <v>567</v>
      </c>
      <c r="R66" s="267"/>
      <c r="S66" s="984" t="s">
        <v>206</v>
      </c>
      <c r="T66" s="771"/>
      <c r="U66" s="771"/>
      <c r="V66" s="647" t="s">
        <v>420</v>
      </c>
      <c r="W66" s="961" t="s">
        <v>480</v>
      </c>
      <c r="X66" s="962"/>
      <c r="Y66" s="961" t="s">
        <v>217</v>
      </c>
      <c r="Z66" s="645" t="s">
        <v>567</v>
      </c>
    </row>
    <row r="67" spans="1:26" ht="12" customHeight="1" x14ac:dyDescent="0.25">
      <c r="A67" s="964">
        <v>1</v>
      </c>
      <c r="B67" s="1209" t="s">
        <v>216</v>
      </c>
      <c r="C67" s="986" t="s">
        <v>708</v>
      </c>
      <c r="D67" s="965">
        <v>0</v>
      </c>
      <c r="E67" s="1014">
        <v>1</v>
      </c>
      <c r="F67" s="999">
        <f>D67*E67</f>
        <v>0</v>
      </c>
      <c r="G67" s="968"/>
      <c r="H67" s="989"/>
      <c r="I67" s="267"/>
      <c r="J67" s="964">
        <v>1</v>
      </c>
      <c r="K67" s="1209" t="s">
        <v>216</v>
      </c>
      <c r="L67" s="986" t="str">
        <f t="shared" ref="L67:N68" si="39">C67</f>
        <v>Recharge name</v>
      </c>
      <c r="M67" s="965">
        <f t="shared" si="39"/>
        <v>0</v>
      </c>
      <c r="N67" s="1014">
        <f t="shared" si="39"/>
        <v>1</v>
      </c>
      <c r="O67" s="999">
        <f>M67*N67</f>
        <v>0</v>
      </c>
      <c r="P67" s="968"/>
      <c r="Q67" s="989"/>
      <c r="R67" s="267"/>
      <c r="S67" s="964">
        <v>1</v>
      </c>
      <c r="T67" s="1209" t="s">
        <v>216</v>
      </c>
      <c r="U67" s="986" t="str">
        <f t="shared" ref="U67:W68" si="40">L67</f>
        <v>Recharge name</v>
      </c>
      <c r="V67" s="965">
        <f t="shared" si="40"/>
        <v>0</v>
      </c>
      <c r="W67" s="1014">
        <f t="shared" si="40"/>
        <v>1</v>
      </c>
      <c r="X67" s="999">
        <f>V67*W67</f>
        <v>0</v>
      </c>
      <c r="Y67" s="968"/>
      <c r="Z67" s="989"/>
    </row>
    <row r="68" spans="1:26" ht="12" customHeight="1" thickBot="1" x14ac:dyDescent="0.3">
      <c r="A68" s="964">
        <v>2</v>
      </c>
      <c r="B68" s="1210"/>
      <c r="C68" s="915" t="s">
        <v>708</v>
      </c>
      <c r="D68" s="965">
        <v>0</v>
      </c>
      <c r="E68" s="1014">
        <v>1</v>
      </c>
      <c r="F68" s="999">
        <f>D68*E68</f>
        <v>0</v>
      </c>
      <c r="G68" s="968"/>
      <c r="H68" s="989"/>
      <c r="I68" s="267"/>
      <c r="J68" s="964">
        <v>2</v>
      </c>
      <c r="K68" s="1210"/>
      <c r="L68" s="915" t="str">
        <f t="shared" si="39"/>
        <v>Recharge name</v>
      </c>
      <c r="M68" s="965">
        <f t="shared" si="39"/>
        <v>0</v>
      </c>
      <c r="N68" s="1014">
        <f t="shared" si="39"/>
        <v>1</v>
      </c>
      <c r="O68" s="999">
        <f>M68*N68</f>
        <v>0</v>
      </c>
      <c r="P68" s="968"/>
      <c r="Q68" s="989"/>
      <c r="R68" s="267"/>
      <c r="S68" s="964">
        <v>2</v>
      </c>
      <c r="T68" s="1210"/>
      <c r="U68" s="915" t="str">
        <f t="shared" si="40"/>
        <v>Recharge name</v>
      </c>
      <c r="V68" s="965">
        <f t="shared" si="40"/>
        <v>0</v>
      </c>
      <c r="W68" s="1014">
        <f t="shared" si="40"/>
        <v>1</v>
      </c>
      <c r="X68" s="999">
        <f>V68*W68</f>
        <v>0</v>
      </c>
      <c r="Y68" s="968"/>
      <c r="Z68" s="989"/>
    </row>
    <row r="69" spans="1:26" ht="12" customHeight="1" thickBot="1" x14ac:dyDescent="0.3">
      <c r="A69" s="972"/>
      <c r="B69" s="1211"/>
      <c r="C69" s="973"/>
      <c r="D69" s="974"/>
      <c r="E69" s="975"/>
      <c r="F69" s="976"/>
      <c r="G69" s="996">
        <f>SUM(F67:F68)</f>
        <v>0</v>
      </c>
      <c r="H69" s="978">
        <f>G69*'F&amp;ARatesCalc'!J13</f>
        <v>0</v>
      </c>
      <c r="I69" s="267"/>
      <c r="J69" s="972"/>
      <c r="K69" s="1211"/>
      <c r="L69" s="973"/>
      <c r="M69" s="974"/>
      <c r="N69" s="975"/>
      <c r="O69" s="976"/>
      <c r="P69" s="996">
        <f>SUM(O67:O68)</f>
        <v>0</v>
      </c>
      <c r="Q69" s="978">
        <f>P69*'F&amp;ARatesCalc'!J19</f>
        <v>0</v>
      </c>
      <c r="R69" s="267"/>
      <c r="S69" s="972"/>
      <c r="T69" s="1211"/>
      <c r="U69" s="973"/>
      <c r="V69" s="974"/>
      <c r="W69" s="975"/>
      <c r="X69" s="976"/>
      <c r="Y69" s="996">
        <f>SUM(X67:X68)</f>
        <v>0</v>
      </c>
      <c r="Z69" s="978">
        <f>Y69*'F&amp;ARatesCalc'!J25</f>
        <v>0</v>
      </c>
    </row>
    <row r="70" spans="1:26" ht="8.25" customHeight="1" x14ac:dyDescent="0.25">
      <c r="A70" s="979"/>
      <c r="B70" s="979"/>
      <c r="C70" s="979"/>
      <c r="D70" s="980"/>
      <c r="E70" s="981"/>
      <c r="F70" s="982"/>
      <c r="G70" s="1001"/>
      <c r="H70" s="989"/>
      <c r="I70" s="267"/>
      <c r="J70" s="979"/>
      <c r="K70" s="979"/>
      <c r="L70" s="979"/>
      <c r="M70" s="980"/>
      <c r="N70" s="981"/>
      <c r="O70" s="982"/>
      <c r="P70" s="1001"/>
      <c r="Q70" s="989"/>
      <c r="R70" s="267"/>
      <c r="S70" s="979"/>
      <c r="T70" s="979"/>
      <c r="U70" s="979"/>
      <c r="V70" s="980"/>
      <c r="W70" s="981"/>
      <c r="X70" s="982"/>
      <c r="Y70" s="1001"/>
      <c r="Z70" s="989"/>
    </row>
    <row r="71" spans="1:26" s="3" customFormat="1" ht="26.25" x14ac:dyDescent="0.25">
      <c r="A71" s="984" t="s">
        <v>666</v>
      </c>
      <c r="B71" s="771"/>
      <c r="C71" s="771"/>
      <c r="D71" s="647"/>
      <c r="E71" s="961"/>
      <c r="F71" s="1018" t="s">
        <v>722</v>
      </c>
      <c r="G71" s="961" t="s">
        <v>217</v>
      </c>
      <c r="H71" s="645" t="s">
        <v>567</v>
      </c>
      <c r="I71" s="267"/>
      <c r="J71" s="984" t="s">
        <v>666</v>
      </c>
      <c r="K71" s="771"/>
      <c r="L71" s="771"/>
      <c r="M71" s="647"/>
      <c r="N71" s="961"/>
      <c r="O71" s="1018" t="s">
        <v>722</v>
      </c>
      <c r="P71" s="961" t="s">
        <v>217</v>
      </c>
      <c r="Q71" s="645" t="s">
        <v>567</v>
      </c>
      <c r="R71" s="267"/>
      <c r="S71" s="984" t="s">
        <v>666</v>
      </c>
      <c r="T71" s="771"/>
      <c r="U71" s="771"/>
      <c r="V71" s="647"/>
      <c r="W71" s="961"/>
      <c r="X71" s="1018" t="s">
        <v>722</v>
      </c>
      <c r="Y71" s="961" t="s">
        <v>217</v>
      </c>
      <c r="Z71" s="645" t="s">
        <v>567</v>
      </c>
    </row>
    <row r="72" spans="1:26" ht="12" customHeight="1" x14ac:dyDescent="0.25">
      <c r="A72" s="964">
        <v>1</v>
      </c>
      <c r="B72" s="979" t="s">
        <v>218</v>
      </c>
      <c r="C72" s="1131" t="s">
        <v>709</v>
      </c>
      <c r="D72" s="1131"/>
      <c r="E72" s="981"/>
      <c r="F72" s="1015">
        <v>0</v>
      </c>
      <c r="G72" s="968"/>
      <c r="H72" s="989"/>
      <c r="I72" s="267"/>
      <c r="J72" s="964">
        <v>1</v>
      </c>
      <c r="K72" s="979" t="s">
        <v>218</v>
      </c>
      <c r="L72" s="1224" t="str">
        <f>C72</f>
        <v>sub name</v>
      </c>
      <c r="M72" s="1148"/>
      <c r="N72" s="981"/>
      <c r="O72" s="1015">
        <f>F72</f>
        <v>0</v>
      </c>
      <c r="P72" s="968"/>
      <c r="Q72" s="989"/>
      <c r="R72" s="267"/>
      <c r="S72" s="964">
        <v>1</v>
      </c>
      <c r="T72" s="979" t="s">
        <v>218</v>
      </c>
      <c r="U72" s="1131" t="str">
        <f>L72</f>
        <v>sub name</v>
      </c>
      <c r="V72" s="1131"/>
      <c r="W72" s="981"/>
      <c r="X72" s="1015">
        <f>O72</f>
        <v>0</v>
      </c>
      <c r="Y72" s="968"/>
      <c r="Z72" s="989"/>
    </row>
    <row r="73" spans="1:26" ht="12" customHeight="1" x14ac:dyDescent="0.25">
      <c r="A73" s="964"/>
      <c r="B73" s="979" t="s">
        <v>209</v>
      </c>
      <c r="C73" s="1016" t="s">
        <v>710</v>
      </c>
      <c r="D73" s="980" t="s">
        <v>208</v>
      </c>
      <c r="E73" s="981">
        <f>'F&amp;ARatesCalc'!B36</f>
        <v>0</v>
      </c>
      <c r="F73" s="1013"/>
      <c r="G73" s="968"/>
      <c r="H73" s="989"/>
      <c r="I73" s="267"/>
      <c r="J73" s="964"/>
      <c r="K73" s="979" t="s">
        <v>209</v>
      </c>
      <c r="L73" s="1016" t="str">
        <f>C73</f>
        <v>contact</v>
      </c>
      <c r="M73" s="980" t="s">
        <v>208</v>
      </c>
      <c r="N73" s="981">
        <f>'F&amp;ARatesCalc'!C36</f>
        <v>0</v>
      </c>
      <c r="O73" s="1013"/>
      <c r="P73" s="968"/>
      <c r="Q73" s="989"/>
      <c r="R73" s="267"/>
      <c r="S73" s="964"/>
      <c r="T73" s="979" t="s">
        <v>209</v>
      </c>
      <c r="U73" s="1016" t="str">
        <f>L73</f>
        <v>contact</v>
      </c>
      <c r="V73" s="980" t="s">
        <v>208</v>
      </c>
      <c r="W73" s="981">
        <f>'F&amp;ARatesCalc'!D36</f>
        <v>0</v>
      </c>
      <c r="X73" s="1013"/>
      <c r="Y73" s="968"/>
      <c r="Z73" s="989"/>
    </row>
    <row r="74" spans="1:26" ht="12" customHeight="1" x14ac:dyDescent="0.25">
      <c r="A74" s="964"/>
      <c r="B74" s="979"/>
      <c r="C74" s="979"/>
      <c r="D74" s="980" t="s">
        <v>477</v>
      </c>
      <c r="E74" s="981">
        <f>'F&amp;ARatesCalc'!B37</f>
        <v>0</v>
      </c>
      <c r="F74" s="1013"/>
      <c r="G74" s="968"/>
      <c r="H74" s="989"/>
      <c r="I74" s="267"/>
      <c r="J74" s="964"/>
      <c r="K74" s="979"/>
      <c r="L74" s="979"/>
      <c r="M74" s="980" t="s">
        <v>477</v>
      </c>
      <c r="N74" s="981">
        <f>'F&amp;ARatesCalc'!C37</f>
        <v>0</v>
      </c>
      <c r="O74" s="1013"/>
      <c r="P74" s="968"/>
      <c r="Q74" s="989"/>
      <c r="R74" s="267"/>
      <c r="S74" s="964"/>
      <c r="T74" s="979"/>
      <c r="U74" s="979"/>
      <c r="V74" s="980" t="s">
        <v>477</v>
      </c>
      <c r="W74" s="981">
        <f>'F&amp;ARatesCalc'!D37</f>
        <v>0</v>
      </c>
      <c r="X74" s="1013"/>
      <c r="Y74" s="968"/>
      <c r="Z74" s="989"/>
    </row>
    <row r="75" spans="1:26" ht="12" customHeight="1" x14ac:dyDescent="0.25">
      <c r="A75" s="964">
        <v>2</v>
      </c>
      <c r="B75" s="979" t="s">
        <v>218</v>
      </c>
      <c r="C75" s="1131" t="s">
        <v>709</v>
      </c>
      <c r="D75" s="1131"/>
      <c r="E75" s="981"/>
      <c r="F75" s="918">
        <v>0</v>
      </c>
      <c r="G75" s="968"/>
      <c r="H75" s="989"/>
      <c r="I75" s="267"/>
      <c r="J75" s="964">
        <v>2</v>
      </c>
      <c r="K75" s="979" t="s">
        <v>218</v>
      </c>
      <c r="L75" s="1224" t="str">
        <f>C75</f>
        <v>sub name</v>
      </c>
      <c r="M75" s="1148"/>
      <c r="N75" s="981"/>
      <c r="O75" s="918">
        <f>F75</f>
        <v>0</v>
      </c>
      <c r="P75" s="968"/>
      <c r="Q75" s="989"/>
      <c r="R75" s="267"/>
      <c r="S75" s="964">
        <v>2</v>
      </c>
      <c r="T75" s="979" t="s">
        <v>218</v>
      </c>
      <c r="U75" s="1131" t="str">
        <f>L75</f>
        <v>sub name</v>
      </c>
      <c r="V75" s="1131"/>
      <c r="W75" s="981"/>
      <c r="X75" s="918">
        <f>O75</f>
        <v>0</v>
      </c>
      <c r="Y75" s="968"/>
      <c r="Z75" s="989"/>
    </row>
    <row r="76" spans="1:26" ht="12" customHeight="1" x14ac:dyDescent="0.25">
      <c r="A76" s="964"/>
      <c r="B76" s="979" t="s">
        <v>209</v>
      </c>
      <c r="C76" s="1016" t="s">
        <v>710</v>
      </c>
      <c r="D76" s="980" t="s">
        <v>208</v>
      </c>
      <c r="E76" s="981">
        <f>'F&amp;ARatesCalc'!B41</f>
        <v>0</v>
      </c>
      <c r="F76" s="1013"/>
      <c r="G76" s="968"/>
      <c r="H76" s="989"/>
      <c r="I76" s="267"/>
      <c r="J76" s="964"/>
      <c r="K76" s="979" t="s">
        <v>209</v>
      </c>
      <c r="L76" s="1016" t="str">
        <f>C76</f>
        <v>contact</v>
      </c>
      <c r="M76" s="980" t="s">
        <v>208</v>
      </c>
      <c r="N76" s="981">
        <f>'F&amp;ARatesCalc'!C41</f>
        <v>0</v>
      </c>
      <c r="O76" s="1013"/>
      <c r="P76" s="968"/>
      <c r="Q76" s="989"/>
      <c r="R76" s="267"/>
      <c r="S76" s="964"/>
      <c r="T76" s="979" t="s">
        <v>209</v>
      </c>
      <c r="U76" s="1016" t="str">
        <f>L76</f>
        <v>contact</v>
      </c>
      <c r="V76" s="980" t="s">
        <v>208</v>
      </c>
      <c r="W76" s="981">
        <f>'F&amp;ARatesCalc'!D41</f>
        <v>0</v>
      </c>
      <c r="X76" s="1013"/>
      <c r="Y76" s="968"/>
      <c r="Z76" s="989"/>
    </row>
    <row r="77" spans="1:26" ht="12" customHeight="1" x14ac:dyDescent="0.25">
      <c r="A77" s="964"/>
      <c r="B77" s="979"/>
      <c r="C77" s="979"/>
      <c r="D77" s="980" t="s">
        <v>477</v>
      </c>
      <c r="E77" s="981">
        <f>'F&amp;ARatesCalc'!B42</f>
        <v>0</v>
      </c>
      <c r="F77" s="1013"/>
      <c r="G77" s="968"/>
      <c r="H77" s="989"/>
      <c r="I77" s="267"/>
      <c r="J77" s="964"/>
      <c r="K77" s="979"/>
      <c r="L77" s="979"/>
      <c r="M77" s="980" t="s">
        <v>477</v>
      </c>
      <c r="N77" s="981">
        <f>'F&amp;ARatesCalc'!C42</f>
        <v>0</v>
      </c>
      <c r="O77" s="1013"/>
      <c r="P77" s="968"/>
      <c r="Q77" s="989"/>
      <c r="R77" s="267"/>
      <c r="S77" s="964"/>
      <c r="T77" s="979"/>
      <c r="U77" s="979"/>
      <c r="V77" s="980" t="s">
        <v>477</v>
      </c>
      <c r="W77" s="981">
        <f>'F&amp;ARatesCalc'!D42</f>
        <v>0</v>
      </c>
      <c r="X77" s="1013"/>
      <c r="Y77" s="968"/>
      <c r="Z77" s="989"/>
    </row>
    <row r="78" spans="1:26" ht="12" customHeight="1" x14ac:dyDescent="0.25">
      <c r="A78" s="964">
        <v>3</v>
      </c>
      <c r="B78" s="979" t="s">
        <v>218</v>
      </c>
      <c r="C78" s="1131" t="s">
        <v>709</v>
      </c>
      <c r="D78" s="1131"/>
      <c r="E78" s="981"/>
      <c r="F78" s="918">
        <v>0</v>
      </c>
      <c r="G78" s="968"/>
      <c r="H78" s="989"/>
      <c r="I78" s="267"/>
      <c r="J78" s="964">
        <v>3</v>
      </c>
      <c r="K78" s="979" t="s">
        <v>218</v>
      </c>
      <c r="L78" s="1224" t="str">
        <f>C78</f>
        <v>sub name</v>
      </c>
      <c r="M78" s="1148"/>
      <c r="N78" s="981"/>
      <c r="O78" s="918">
        <f>F78</f>
        <v>0</v>
      </c>
      <c r="P78" s="968"/>
      <c r="Q78" s="989"/>
      <c r="R78" s="267"/>
      <c r="S78" s="964">
        <v>3</v>
      </c>
      <c r="T78" s="979" t="s">
        <v>218</v>
      </c>
      <c r="U78" s="1131" t="str">
        <f>L78</f>
        <v>sub name</v>
      </c>
      <c r="V78" s="1131"/>
      <c r="W78" s="981"/>
      <c r="X78" s="918">
        <f>O78</f>
        <v>0</v>
      </c>
      <c r="Y78" s="968"/>
      <c r="Z78" s="989"/>
    </row>
    <row r="79" spans="1:26" ht="12" customHeight="1" x14ac:dyDescent="0.25">
      <c r="A79" s="964"/>
      <c r="B79" s="979" t="s">
        <v>209</v>
      </c>
      <c r="C79" s="986" t="s">
        <v>710</v>
      </c>
      <c r="D79" s="980" t="s">
        <v>208</v>
      </c>
      <c r="E79" s="981">
        <f>'F&amp;ARatesCalc'!B46</f>
        <v>0</v>
      </c>
      <c r="F79" s="1013"/>
      <c r="G79" s="968"/>
      <c r="H79" s="989"/>
      <c r="I79" s="267"/>
      <c r="J79" s="964"/>
      <c r="K79" s="979" t="s">
        <v>209</v>
      </c>
      <c r="L79" s="986" t="str">
        <f>C79</f>
        <v>contact</v>
      </c>
      <c r="M79" s="980" t="s">
        <v>208</v>
      </c>
      <c r="N79" s="981">
        <f>'F&amp;ARatesCalc'!C46</f>
        <v>0</v>
      </c>
      <c r="O79" s="1013"/>
      <c r="P79" s="968"/>
      <c r="Q79" s="989"/>
      <c r="R79" s="267"/>
      <c r="S79" s="964"/>
      <c r="T79" s="979" t="s">
        <v>209</v>
      </c>
      <c r="U79" s="986" t="str">
        <f>L79</f>
        <v>contact</v>
      </c>
      <c r="V79" s="980" t="s">
        <v>208</v>
      </c>
      <c r="W79" s="981">
        <f>'F&amp;ARatesCalc'!D46</f>
        <v>0</v>
      </c>
      <c r="X79" s="1013"/>
      <c r="Y79" s="968"/>
      <c r="Z79" s="989"/>
    </row>
    <row r="80" spans="1:26" ht="12" customHeight="1" thickBot="1" x14ac:dyDescent="0.3">
      <c r="A80" s="964"/>
      <c r="B80" s="979"/>
      <c r="C80" s="979"/>
      <c r="D80" s="980" t="s">
        <v>477</v>
      </c>
      <c r="E80" s="981">
        <f>'F&amp;ARatesCalc'!B47</f>
        <v>0</v>
      </c>
      <c r="F80" s="1013"/>
      <c r="G80" s="968"/>
      <c r="H80" s="989"/>
      <c r="I80" s="267"/>
      <c r="J80" s="964"/>
      <c r="K80" s="979"/>
      <c r="L80" s="979"/>
      <c r="M80" s="980" t="s">
        <v>477</v>
      </c>
      <c r="N80" s="981">
        <f>'F&amp;ARatesCalc'!C47</f>
        <v>0</v>
      </c>
      <c r="O80" s="1013"/>
      <c r="P80" s="968"/>
      <c r="Q80" s="989"/>
      <c r="R80" s="267"/>
      <c r="S80" s="964"/>
      <c r="T80" s="979"/>
      <c r="U80" s="979"/>
      <c r="V80" s="980" t="s">
        <v>477</v>
      </c>
      <c r="W80" s="981">
        <f>'F&amp;ARatesCalc'!D47</f>
        <v>0</v>
      </c>
      <c r="X80" s="1013"/>
      <c r="Y80" s="968"/>
      <c r="Z80" s="989"/>
    </row>
    <row r="81" spans="1:26" ht="12" customHeight="1" thickBot="1" x14ac:dyDescent="0.3">
      <c r="A81" s="1006"/>
      <c r="B81" s="642"/>
      <c r="C81" s="642"/>
      <c r="D81" s="1007"/>
      <c r="E81" s="1008"/>
      <c r="F81" s="1009"/>
      <c r="G81" s="996">
        <f>F72+F75+F78</f>
        <v>0</v>
      </c>
      <c r="H81" s="978">
        <f>((E73+E76+E79)*'F&amp;ARatesCalc'!J13)+OtherDirectCosts!E74+OtherDirectCosts!E77+OtherDirectCosts!E80</f>
        <v>0</v>
      </c>
      <c r="I81" s="267"/>
      <c r="J81" s="1006"/>
      <c r="K81" s="642"/>
      <c r="L81" s="642"/>
      <c r="M81" s="1007"/>
      <c r="N81" s="1008"/>
      <c r="O81" s="1009"/>
      <c r="P81" s="996">
        <f>O72+O75+O78</f>
        <v>0</v>
      </c>
      <c r="Q81" s="978">
        <f>((N73+N76+N79)*'F&amp;ARatesCalc'!J19)+OtherDirectCosts!N74+OtherDirectCosts!N77+OtherDirectCosts!N80</f>
        <v>0</v>
      </c>
      <c r="R81" s="267"/>
      <c r="S81" s="1006"/>
      <c r="T81" s="642"/>
      <c r="U81" s="642"/>
      <c r="V81" s="1007"/>
      <c r="W81" s="1008"/>
      <c r="X81" s="1009"/>
      <c r="Y81" s="996">
        <f>X72+X75+X78</f>
        <v>0</v>
      </c>
      <c r="Z81" s="978">
        <f>((W73+W76+W79)*'F&amp;ARatesCalc'!J25)+OtherDirectCosts!W74+OtherDirectCosts!W77+OtherDirectCosts!W80</f>
        <v>0</v>
      </c>
    </row>
    <row r="82" spans="1:26" ht="8.25" customHeight="1" x14ac:dyDescent="0.25">
      <c r="A82" s="327"/>
      <c r="B82" s="327"/>
      <c r="C82" s="327"/>
      <c r="D82" s="989"/>
      <c r="E82" s="1017"/>
      <c r="F82" s="365"/>
      <c r="G82" s="1001"/>
      <c r="H82" s="989"/>
      <c r="I82" s="267"/>
      <c r="J82" s="327"/>
      <c r="K82" s="327"/>
      <c r="L82" s="327"/>
      <c r="M82" s="989"/>
      <c r="N82" s="1017"/>
      <c r="O82" s="365"/>
      <c r="P82" s="1001"/>
      <c r="Q82" s="989"/>
      <c r="R82" s="267"/>
      <c r="S82" s="327"/>
      <c r="T82" s="327"/>
      <c r="U82" s="327"/>
      <c r="V82" s="989"/>
      <c r="W82" s="1017"/>
      <c r="X82" s="365"/>
      <c r="Y82" s="1001"/>
      <c r="Z82" s="989"/>
    </row>
    <row r="83" spans="1:26" s="3" customFormat="1" ht="25.5" x14ac:dyDescent="0.25">
      <c r="A83" s="984" t="s">
        <v>409</v>
      </c>
      <c r="B83" s="771"/>
      <c r="C83" s="771"/>
      <c r="D83" s="646" t="s">
        <v>473</v>
      </c>
      <c r="E83" s="961" t="s">
        <v>474</v>
      </c>
      <c r="F83" s="962"/>
      <c r="G83" s="961" t="s">
        <v>217</v>
      </c>
      <c r="H83" s="645" t="s">
        <v>567</v>
      </c>
      <c r="I83" s="267"/>
      <c r="J83" s="984" t="s">
        <v>409</v>
      </c>
      <c r="K83" s="771"/>
      <c r="L83" s="771"/>
      <c r="M83" s="646" t="s">
        <v>473</v>
      </c>
      <c r="N83" s="961" t="s">
        <v>474</v>
      </c>
      <c r="O83" s="962"/>
      <c r="P83" s="961" t="s">
        <v>217</v>
      </c>
      <c r="Q83" s="645" t="s">
        <v>567</v>
      </c>
      <c r="R83" s="267"/>
      <c r="S83" s="984" t="s">
        <v>409</v>
      </c>
      <c r="T83" s="771"/>
      <c r="U83" s="771"/>
      <c r="V83" s="646" t="s">
        <v>473</v>
      </c>
      <c r="W83" s="961" t="s">
        <v>474</v>
      </c>
      <c r="X83" s="962"/>
      <c r="Y83" s="961" t="s">
        <v>217</v>
      </c>
      <c r="Z83" s="645" t="s">
        <v>567</v>
      </c>
    </row>
    <row r="84" spans="1:26" ht="12" customHeight="1" x14ac:dyDescent="0.25">
      <c r="A84" s="1003">
        <v>1</v>
      </c>
      <c r="B84" s="1203" t="s">
        <v>214</v>
      </c>
      <c r="C84" s="986" t="s">
        <v>703</v>
      </c>
      <c r="D84" s="987">
        <v>0</v>
      </c>
      <c r="E84" s="988">
        <v>1</v>
      </c>
      <c r="F84" s="967">
        <f>D84*E84</f>
        <v>0</v>
      </c>
      <c r="G84" s="968"/>
      <c r="H84" s="989"/>
      <c r="I84" s="267"/>
      <c r="J84" s="1003">
        <v>1</v>
      </c>
      <c r="K84" s="1203" t="s">
        <v>214</v>
      </c>
      <c r="L84" s="986" t="str">
        <f t="shared" ref="L84:N87" si="41">C84</f>
        <v>item</v>
      </c>
      <c r="M84" s="987">
        <f t="shared" si="41"/>
        <v>0</v>
      </c>
      <c r="N84" s="988">
        <f t="shared" si="41"/>
        <v>1</v>
      </c>
      <c r="O84" s="967">
        <f>M84*N84</f>
        <v>0</v>
      </c>
      <c r="P84" s="968"/>
      <c r="Q84" s="989"/>
      <c r="R84" s="267"/>
      <c r="S84" s="1003">
        <v>1</v>
      </c>
      <c r="T84" s="1203" t="s">
        <v>214</v>
      </c>
      <c r="U84" s="986" t="str">
        <f t="shared" ref="U84:W87" si="42">L84</f>
        <v>item</v>
      </c>
      <c r="V84" s="987">
        <f t="shared" si="42"/>
        <v>0</v>
      </c>
      <c r="W84" s="988">
        <f t="shared" si="42"/>
        <v>1</v>
      </c>
      <c r="X84" s="967">
        <f>V84*W84</f>
        <v>0</v>
      </c>
      <c r="Y84" s="968"/>
      <c r="Z84" s="989"/>
    </row>
    <row r="85" spans="1:26" ht="12" customHeight="1" x14ac:dyDescent="0.25">
      <c r="A85" s="1003">
        <v>2</v>
      </c>
      <c r="B85" s="1204"/>
      <c r="C85" s="915" t="s">
        <v>703</v>
      </c>
      <c r="D85" s="965">
        <v>0</v>
      </c>
      <c r="E85" s="992">
        <v>1</v>
      </c>
      <c r="F85" s="967">
        <f t="shared" ref="F85:F87" si="43">D85*E85</f>
        <v>0</v>
      </c>
      <c r="G85" s="968"/>
      <c r="H85" s="989"/>
      <c r="I85" s="267"/>
      <c r="J85" s="1003">
        <v>2</v>
      </c>
      <c r="K85" s="1204"/>
      <c r="L85" s="915" t="str">
        <f t="shared" si="41"/>
        <v>item</v>
      </c>
      <c r="M85" s="965">
        <f t="shared" si="41"/>
        <v>0</v>
      </c>
      <c r="N85" s="992">
        <f t="shared" si="41"/>
        <v>1</v>
      </c>
      <c r="O85" s="967">
        <f t="shared" ref="O85:O87" si="44">M85*N85</f>
        <v>0</v>
      </c>
      <c r="P85" s="968"/>
      <c r="Q85" s="989"/>
      <c r="R85" s="267"/>
      <c r="S85" s="1003">
        <v>2</v>
      </c>
      <c r="T85" s="1204"/>
      <c r="U85" s="915" t="str">
        <f t="shared" si="42"/>
        <v>item</v>
      </c>
      <c r="V85" s="965">
        <f t="shared" si="42"/>
        <v>0</v>
      </c>
      <c r="W85" s="992">
        <f t="shared" si="42"/>
        <v>1</v>
      </c>
      <c r="X85" s="967">
        <f t="shared" ref="X85:X87" si="45">V85*W85</f>
        <v>0</v>
      </c>
      <c r="Y85" s="968"/>
      <c r="Z85" s="989"/>
    </row>
    <row r="86" spans="1:26" ht="12" customHeight="1" x14ac:dyDescent="0.25">
      <c r="A86" s="1003">
        <v>3</v>
      </c>
      <c r="B86" s="1204"/>
      <c r="C86" s="915" t="s">
        <v>703</v>
      </c>
      <c r="D86" s="965">
        <v>0</v>
      </c>
      <c r="E86" s="992">
        <v>1</v>
      </c>
      <c r="F86" s="967">
        <f t="shared" si="43"/>
        <v>0</v>
      </c>
      <c r="G86" s="968"/>
      <c r="H86" s="989"/>
      <c r="I86" s="267"/>
      <c r="J86" s="1003">
        <v>3</v>
      </c>
      <c r="K86" s="1204"/>
      <c r="L86" s="915" t="str">
        <f t="shared" si="41"/>
        <v>item</v>
      </c>
      <c r="M86" s="965">
        <f t="shared" si="41"/>
        <v>0</v>
      </c>
      <c r="N86" s="992">
        <f t="shared" si="41"/>
        <v>1</v>
      </c>
      <c r="O86" s="967">
        <f t="shared" si="44"/>
        <v>0</v>
      </c>
      <c r="P86" s="968"/>
      <c r="Q86" s="989"/>
      <c r="R86" s="267"/>
      <c r="S86" s="1003">
        <v>3</v>
      </c>
      <c r="T86" s="1204"/>
      <c r="U86" s="915" t="str">
        <f t="shared" si="42"/>
        <v>item</v>
      </c>
      <c r="V86" s="965">
        <f t="shared" si="42"/>
        <v>0</v>
      </c>
      <c r="W86" s="992">
        <f t="shared" si="42"/>
        <v>1</v>
      </c>
      <c r="X86" s="967">
        <f t="shared" si="45"/>
        <v>0</v>
      </c>
      <c r="Y86" s="968"/>
      <c r="Z86" s="989"/>
    </row>
    <row r="87" spans="1:26" ht="12" customHeight="1" thickBot="1" x14ac:dyDescent="0.3">
      <c r="A87" s="1003">
        <v>4</v>
      </c>
      <c r="B87" s="1204"/>
      <c r="C87" s="915" t="s">
        <v>703</v>
      </c>
      <c r="D87" s="965">
        <v>0</v>
      </c>
      <c r="E87" s="992">
        <v>1</v>
      </c>
      <c r="F87" s="967">
        <f t="shared" si="43"/>
        <v>0</v>
      </c>
      <c r="G87" s="968"/>
      <c r="H87" s="989"/>
      <c r="I87" s="267"/>
      <c r="J87" s="1003">
        <v>4</v>
      </c>
      <c r="K87" s="1204"/>
      <c r="L87" s="915" t="str">
        <f t="shared" si="41"/>
        <v>item</v>
      </c>
      <c r="M87" s="965">
        <f t="shared" si="41"/>
        <v>0</v>
      </c>
      <c r="N87" s="992">
        <f t="shared" si="41"/>
        <v>1</v>
      </c>
      <c r="O87" s="967">
        <f t="shared" si="44"/>
        <v>0</v>
      </c>
      <c r="P87" s="968"/>
      <c r="Q87" s="989"/>
      <c r="R87" s="267"/>
      <c r="S87" s="1003">
        <v>4</v>
      </c>
      <c r="T87" s="1204"/>
      <c r="U87" s="915" t="str">
        <f t="shared" si="42"/>
        <v>item</v>
      </c>
      <c r="V87" s="965">
        <f t="shared" si="42"/>
        <v>0</v>
      </c>
      <c r="W87" s="992">
        <f t="shared" si="42"/>
        <v>1</v>
      </c>
      <c r="X87" s="967">
        <f t="shared" si="45"/>
        <v>0</v>
      </c>
      <c r="Y87" s="968"/>
      <c r="Z87" s="989"/>
    </row>
    <row r="88" spans="1:26" ht="12" customHeight="1" thickBot="1" x14ac:dyDescent="0.3">
      <c r="A88" s="1006"/>
      <c r="B88" s="1205"/>
      <c r="C88" s="642"/>
      <c r="D88" s="1007"/>
      <c r="E88" s="1008"/>
      <c r="F88" s="1009"/>
      <c r="G88" s="996">
        <f>SUM(F84:F87)</f>
        <v>0</v>
      </c>
      <c r="H88" s="978">
        <f>G88*'F&amp;ARatesCalc'!J13</f>
        <v>0</v>
      </c>
      <c r="I88" s="267"/>
      <c r="J88" s="1006"/>
      <c r="K88" s="1205"/>
      <c r="L88" s="642"/>
      <c r="M88" s="1007"/>
      <c r="N88" s="1008"/>
      <c r="O88" s="1009"/>
      <c r="P88" s="996">
        <f>SUM(O84:O87)</f>
        <v>0</v>
      </c>
      <c r="Q88" s="978">
        <f>P88*'F&amp;ARatesCalc'!J19</f>
        <v>0</v>
      </c>
      <c r="R88" s="267"/>
      <c r="S88" s="1006"/>
      <c r="T88" s="1205"/>
      <c r="U88" s="642"/>
      <c r="V88" s="1007"/>
      <c r="W88" s="1008"/>
      <c r="X88" s="1009"/>
      <c r="Y88" s="996">
        <f>SUM(X84:X87)</f>
        <v>0</v>
      </c>
      <c r="Z88" s="978">
        <f>Y88*'F&amp;ARatesCalc'!J25</f>
        <v>0</v>
      </c>
    </row>
    <row r="89" spans="1:26" ht="8.25" customHeight="1" x14ac:dyDescent="0.25">
      <c r="A89" s="327"/>
      <c r="B89" s="327"/>
      <c r="C89" s="327"/>
      <c r="D89" s="989"/>
      <c r="E89" s="1017"/>
      <c r="F89" s="365"/>
      <c r="G89" s="1001"/>
      <c r="H89" s="989"/>
      <c r="I89" s="267"/>
      <c r="J89" s="327"/>
      <c r="K89" s="327"/>
      <c r="L89" s="327"/>
      <c r="M89" s="989"/>
      <c r="N89" s="1017"/>
      <c r="O89" s="365"/>
      <c r="P89" s="1001"/>
      <c r="Q89" s="989"/>
      <c r="R89" s="267"/>
      <c r="S89" s="327"/>
      <c r="T89" s="327"/>
      <c r="U89" s="327"/>
      <c r="V89" s="989"/>
      <c r="W89" s="1017"/>
      <c r="X89" s="365"/>
      <c r="Y89" s="1001"/>
      <c r="Z89" s="989"/>
    </row>
    <row r="90" spans="1:26" s="3" customFormat="1" ht="25.5" x14ac:dyDescent="0.25">
      <c r="A90" s="984" t="s">
        <v>576</v>
      </c>
      <c r="B90" s="771"/>
      <c r="C90" s="771"/>
      <c r="D90" s="646" t="s">
        <v>473</v>
      </c>
      <c r="E90" s="961" t="s">
        <v>474</v>
      </c>
      <c r="F90" s="962"/>
      <c r="G90" s="961" t="s">
        <v>217</v>
      </c>
      <c r="H90" s="645" t="s">
        <v>567</v>
      </c>
      <c r="I90" s="267"/>
      <c r="J90" s="984" t="s">
        <v>576</v>
      </c>
      <c r="K90" s="771"/>
      <c r="L90" s="771"/>
      <c r="M90" s="646" t="s">
        <v>473</v>
      </c>
      <c r="N90" s="961" t="s">
        <v>474</v>
      </c>
      <c r="O90" s="962"/>
      <c r="P90" s="961" t="s">
        <v>217</v>
      </c>
      <c r="Q90" s="645" t="s">
        <v>567</v>
      </c>
      <c r="R90" s="267"/>
      <c r="S90" s="984" t="s">
        <v>576</v>
      </c>
      <c r="T90" s="771"/>
      <c r="U90" s="771"/>
      <c r="V90" s="646" t="s">
        <v>473</v>
      </c>
      <c r="W90" s="961" t="s">
        <v>474</v>
      </c>
      <c r="X90" s="962"/>
      <c r="Y90" s="961" t="s">
        <v>217</v>
      </c>
      <c r="Z90" s="645" t="s">
        <v>567</v>
      </c>
    </row>
    <row r="91" spans="1:26" ht="12" customHeight="1" x14ac:dyDescent="0.25">
      <c r="A91" s="1003">
        <v>1</v>
      </c>
      <c r="B91" s="1206" t="s">
        <v>721</v>
      </c>
      <c r="C91" s="986" t="s">
        <v>703</v>
      </c>
      <c r="D91" s="987">
        <v>0</v>
      </c>
      <c r="E91" s="988">
        <v>1</v>
      </c>
      <c r="F91" s="999">
        <f>D91*E91</f>
        <v>0</v>
      </c>
      <c r="G91" s="968"/>
      <c r="H91" s="989"/>
      <c r="I91" s="970"/>
      <c r="J91" s="1003">
        <v>1</v>
      </c>
      <c r="K91" s="1203" t="s">
        <v>721</v>
      </c>
      <c r="L91" s="986" t="str">
        <f t="shared" ref="L91:N94" si="46">C91</f>
        <v>item</v>
      </c>
      <c r="M91" s="987">
        <f t="shared" si="46"/>
        <v>0</v>
      </c>
      <c r="N91" s="988">
        <f t="shared" si="46"/>
        <v>1</v>
      </c>
      <c r="O91" s="999">
        <f>M91*N91</f>
        <v>0</v>
      </c>
      <c r="P91" s="968"/>
      <c r="Q91" s="989"/>
      <c r="R91" s="267"/>
      <c r="S91" s="1003">
        <v>1</v>
      </c>
      <c r="T91" s="1206" t="s">
        <v>721</v>
      </c>
      <c r="U91" s="986" t="str">
        <f t="shared" ref="U91:W94" si="47">L91</f>
        <v>item</v>
      </c>
      <c r="V91" s="987">
        <f t="shared" si="47"/>
        <v>0</v>
      </c>
      <c r="W91" s="988">
        <f t="shared" si="47"/>
        <v>1</v>
      </c>
      <c r="X91" s="999">
        <f>V91*W91</f>
        <v>0</v>
      </c>
      <c r="Y91" s="968"/>
      <c r="Z91" s="989"/>
    </row>
    <row r="92" spans="1:26" ht="12" customHeight="1" x14ac:dyDescent="0.25">
      <c r="A92" s="1003">
        <v>2</v>
      </c>
      <c r="B92" s="1207"/>
      <c r="C92" s="915" t="s">
        <v>703</v>
      </c>
      <c r="D92" s="965">
        <v>0</v>
      </c>
      <c r="E92" s="992">
        <v>1</v>
      </c>
      <c r="F92" s="999">
        <f t="shared" ref="F92:F94" si="48">D92*E92</f>
        <v>0</v>
      </c>
      <c r="G92" s="968"/>
      <c r="H92" s="989"/>
      <c r="I92" s="267"/>
      <c r="J92" s="1003">
        <v>2</v>
      </c>
      <c r="K92" s="1204"/>
      <c r="L92" s="915" t="str">
        <f t="shared" si="46"/>
        <v>item</v>
      </c>
      <c r="M92" s="965">
        <f t="shared" si="46"/>
        <v>0</v>
      </c>
      <c r="N92" s="992">
        <f t="shared" si="46"/>
        <v>1</v>
      </c>
      <c r="O92" s="999">
        <f t="shared" ref="O92:O94" si="49">M92*N92</f>
        <v>0</v>
      </c>
      <c r="P92" s="968"/>
      <c r="Q92" s="989"/>
      <c r="R92" s="267"/>
      <c r="S92" s="1003">
        <v>2</v>
      </c>
      <c r="T92" s="1207"/>
      <c r="U92" s="915" t="str">
        <f t="shared" si="47"/>
        <v>item</v>
      </c>
      <c r="V92" s="965">
        <f t="shared" si="47"/>
        <v>0</v>
      </c>
      <c r="W92" s="992">
        <f t="shared" si="47"/>
        <v>1</v>
      </c>
      <c r="X92" s="999">
        <f t="shared" ref="X92:X94" si="50">V92*W92</f>
        <v>0</v>
      </c>
      <c r="Y92" s="968"/>
      <c r="Z92" s="989"/>
    </row>
    <row r="93" spans="1:26" ht="12" customHeight="1" x14ac:dyDescent="0.25">
      <c r="A93" s="1003">
        <v>3</v>
      </c>
      <c r="B93" s="1207"/>
      <c r="C93" s="915" t="s">
        <v>703</v>
      </c>
      <c r="D93" s="965">
        <v>0</v>
      </c>
      <c r="E93" s="992">
        <v>1</v>
      </c>
      <c r="F93" s="999">
        <f t="shared" si="48"/>
        <v>0</v>
      </c>
      <c r="G93" s="968"/>
      <c r="H93" s="989"/>
      <c r="I93" s="267"/>
      <c r="J93" s="1003">
        <v>3</v>
      </c>
      <c r="K93" s="1204"/>
      <c r="L93" s="915" t="str">
        <f t="shared" si="46"/>
        <v>item</v>
      </c>
      <c r="M93" s="965">
        <f t="shared" si="46"/>
        <v>0</v>
      </c>
      <c r="N93" s="992">
        <f t="shared" si="46"/>
        <v>1</v>
      </c>
      <c r="O93" s="999">
        <f t="shared" si="49"/>
        <v>0</v>
      </c>
      <c r="P93" s="968"/>
      <c r="Q93" s="989"/>
      <c r="R93" s="267"/>
      <c r="S93" s="1003">
        <v>3</v>
      </c>
      <c r="T93" s="1207"/>
      <c r="U93" s="915" t="str">
        <f t="shared" si="47"/>
        <v>item</v>
      </c>
      <c r="V93" s="965">
        <f t="shared" si="47"/>
        <v>0</v>
      </c>
      <c r="W93" s="992">
        <f t="shared" si="47"/>
        <v>1</v>
      </c>
      <c r="X93" s="999">
        <f t="shared" si="50"/>
        <v>0</v>
      </c>
      <c r="Y93" s="968"/>
      <c r="Z93" s="989"/>
    </row>
    <row r="94" spans="1:26" ht="12" customHeight="1" thickBot="1" x14ac:dyDescent="0.3">
      <c r="A94" s="1003">
        <v>4</v>
      </c>
      <c r="B94" s="1207"/>
      <c r="C94" s="915" t="s">
        <v>703</v>
      </c>
      <c r="D94" s="965">
        <v>0</v>
      </c>
      <c r="E94" s="992">
        <v>1</v>
      </c>
      <c r="F94" s="999">
        <f t="shared" si="48"/>
        <v>0</v>
      </c>
      <c r="G94" s="968"/>
      <c r="H94" s="989"/>
      <c r="I94" s="267"/>
      <c r="J94" s="1003">
        <v>4</v>
      </c>
      <c r="K94" s="1204"/>
      <c r="L94" s="915" t="str">
        <f t="shared" si="46"/>
        <v>item</v>
      </c>
      <c r="M94" s="965">
        <f t="shared" si="46"/>
        <v>0</v>
      </c>
      <c r="N94" s="992">
        <f t="shared" si="46"/>
        <v>1</v>
      </c>
      <c r="O94" s="999">
        <f t="shared" si="49"/>
        <v>0</v>
      </c>
      <c r="P94" s="968"/>
      <c r="Q94" s="989"/>
      <c r="R94" s="267"/>
      <c r="S94" s="1003">
        <v>4</v>
      </c>
      <c r="T94" s="1207"/>
      <c r="U94" s="915" t="str">
        <f t="shared" si="47"/>
        <v>item</v>
      </c>
      <c r="V94" s="965">
        <f t="shared" si="47"/>
        <v>0</v>
      </c>
      <c r="W94" s="992">
        <f t="shared" si="47"/>
        <v>1</v>
      </c>
      <c r="X94" s="999">
        <f t="shared" si="50"/>
        <v>0</v>
      </c>
      <c r="Y94" s="968"/>
      <c r="Z94" s="989"/>
    </row>
    <row r="95" spans="1:26" ht="12" customHeight="1" thickBot="1" x14ac:dyDescent="0.3">
      <c r="A95" s="1006"/>
      <c r="B95" s="1208"/>
      <c r="C95" s="642"/>
      <c r="D95" s="1007"/>
      <c r="E95" s="1008"/>
      <c r="F95" s="1009"/>
      <c r="G95" s="996">
        <f>SUM(F91:F94)</f>
        <v>0</v>
      </c>
      <c r="H95" s="978">
        <f>G95</f>
        <v>0</v>
      </c>
      <c r="I95" s="267"/>
      <c r="J95" s="1006"/>
      <c r="K95" s="1205"/>
      <c r="L95" s="642"/>
      <c r="M95" s="1007"/>
      <c r="N95" s="1008"/>
      <c r="O95" s="1009"/>
      <c r="P95" s="996">
        <f>SUM(O91:O94)</f>
        <v>0</v>
      </c>
      <c r="Q95" s="978">
        <f>P95</f>
        <v>0</v>
      </c>
      <c r="R95" s="267"/>
      <c r="S95" s="1006"/>
      <c r="T95" s="1208"/>
      <c r="U95" s="642"/>
      <c r="V95" s="1007"/>
      <c r="W95" s="1008"/>
      <c r="X95" s="1009"/>
      <c r="Y95" s="996">
        <f>SUM(X91:X94)</f>
        <v>0</v>
      </c>
      <c r="Z95" s="978">
        <f>Y95</f>
        <v>0</v>
      </c>
    </row>
    <row r="96" spans="1:26" x14ac:dyDescent="0.25">
      <c r="A96" s="333"/>
      <c r="B96" s="333"/>
      <c r="C96" s="333"/>
      <c r="D96" s="438"/>
      <c r="E96" s="439"/>
      <c r="F96" s="334"/>
      <c r="G96" s="456"/>
      <c r="H96" s="438"/>
    </row>
    <row r="97" spans="1:8" x14ac:dyDescent="0.25">
      <c r="A97" s="333"/>
      <c r="B97" s="333"/>
      <c r="C97" s="333"/>
      <c r="D97" s="438"/>
      <c r="E97" s="439"/>
      <c r="F97" s="334"/>
      <c r="G97" s="456"/>
      <c r="H97" s="438"/>
    </row>
  </sheetData>
  <sheetProtection algorithmName="SHA-512" hashValue="A/TQlXBZyzDYjunFmVYzzCfkQmsfi2T8HxLOART3HaE2+dFGFjl7RPF6iz9+CmzJsX4ASU9/3aPzeRnh+AjEYQ==" saltValue="/phfs1O2fptwtmjMkt44LQ==" spinCount="100000" sheet="1" objects="1" scenarios="1"/>
  <mergeCells count="57">
    <mergeCell ref="L72:M72"/>
    <mergeCell ref="L75:M75"/>
    <mergeCell ref="L78:M78"/>
    <mergeCell ref="K84:K88"/>
    <mergeCell ref="K91:K95"/>
    <mergeCell ref="K49:K54"/>
    <mergeCell ref="K57:K59"/>
    <mergeCell ref="K62:K64"/>
    <mergeCell ref="K67:K69"/>
    <mergeCell ref="K14:K19"/>
    <mergeCell ref="K22:K27"/>
    <mergeCell ref="K30:K34"/>
    <mergeCell ref="K37:K40"/>
    <mergeCell ref="K43:K46"/>
    <mergeCell ref="O3:P3"/>
    <mergeCell ref="M4:M5"/>
    <mergeCell ref="N4:N5"/>
    <mergeCell ref="O4:P4"/>
    <mergeCell ref="K8:K11"/>
    <mergeCell ref="B84:B88"/>
    <mergeCell ref="B91:B95"/>
    <mergeCell ref="B30:B34"/>
    <mergeCell ref="B62:B64"/>
    <mergeCell ref="B37:B40"/>
    <mergeCell ref="B43:B46"/>
    <mergeCell ref="F3:G3"/>
    <mergeCell ref="F4:G4"/>
    <mergeCell ref="B8:B11"/>
    <mergeCell ref="B14:B19"/>
    <mergeCell ref="B22:B27"/>
    <mergeCell ref="D4:D5"/>
    <mergeCell ref="E4:E5"/>
    <mergeCell ref="C72:D72"/>
    <mergeCell ref="C75:D75"/>
    <mergeCell ref="C78:D78"/>
    <mergeCell ref="B49:B54"/>
    <mergeCell ref="B57:B59"/>
    <mergeCell ref="B67:B69"/>
    <mergeCell ref="X3:Y3"/>
    <mergeCell ref="V4:V5"/>
    <mergeCell ref="W4:W5"/>
    <mergeCell ref="X4:Y4"/>
    <mergeCell ref="T8:T11"/>
    <mergeCell ref="T14:T19"/>
    <mergeCell ref="T22:T27"/>
    <mergeCell ref="T30:T34"/>
    <mergeCell ref="T37:T40"/>
    <mergeCell ref="T43:T46"/>
    <mergeCell ref="U75:V75"/>
    <mergeCell ref="U78:V78"/>
    <mergeCell ref="T84:T88"/>
    <mergeCell ref="T91:T95"/>
    <mergeCell ref="T49:T54"/>
    <mergeCell ref="T57:T59"/>
    <mergeCell ref="T62:T64"/>
    <mergeCell ref="T67:T69"/>
    <mergeCell ref="U72:V72"/>
  </mergeCells>
  <dataValidations count="2">
    <dataValidation type="decimal" operator="notBetween" allowBlank="1" showInputMessage="1" showErrorMessage="1" errorTitle="Equipment items over $5000" error="Each item must cost over $5000 to be considered equipment._x000a_" sqref="D8 V8 M8" xr:uid="{00000000-0002-0000-0700-000000000000}">
      <formula1>1</formula1>
      <formula2>4999</formula2>
    </dataValidation>
    <dataValidation type="decimal" operator="notBetween" allowBlank="1" showInputMessage="1" showErrorMessage="1" errorTitle="Equipment items over $5000" error="Each item must cost over $5000 to be considered equipment." sqref="D9:D10 V9:V10 M9:M10" xr:uid="{00000000-0002-0000-0700-000001000000}">
      <formula1>1</formula1>
      <formula2>4999</formula2>
    </dataValidation>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7" tint="0.79998168889431442"/>
  </sheetPr>
  <dimension ref="A1:AI56"/>
  <sheetViews>
    <sheetView zoomScale="80" zoomScaleNormal="80" workbookViewId="0">
      <pane ySplit="8" topLeftCell="A9" activePane="bottomLeft" state="frozen"/>
      <selection pane="bottomLeft" activeCell="H14" sqref="H14"/>
    </sheetView>
  </sheetViews>
  <sheetFormatPr defaultRowHeight="15" x14ac:dyDescent="0.25"/>
  <cols>
    <col min="1" max="1" width="7.7109375" style="3" customWidth="1"/>
    <col min="2" max="2" width="9.7109375" style="3" customWidth="1"/>
    <col min="3" max="3" width="13.5703125" style="3" customWidth="1"/>
    <col min="4" max="5" width="10.7109375" style="3" customWidth="1"/>
    <col min="6" max="6" width="13" style="3" customWidth="1"/>
    <col min="7" max="7" width="21.140625" style="3" customWidth="1"/>
    <col min="8" max="8" width="10.28515625" style="3" customWidth="1"/>
    <col min="9" max="9" width="12.28515625" style="3" customWidth="1"/>
    <col min="10" max="10" width="15" style="3" customWidth="1"/>
    <col min="11" max="11" width="1.85546875" style="3" customWidth="1"/>
    <col min="12" max="12" width="7.7109375" style="3" customWidth="1"/>
    <col min="13" max="13" width="9.7109375" style="3" customWidth="1"/>
    <col min="14" max="14" width="13.5703125" style="3" customWidth="1"/>
    <col min="15" max="15" width="10.7109375" style="3" customWidth="1"/>
    <col min="16" max="16" width="9.140625" style="3"/>
    <col min="17" max="17" width="13" style="3" customWidth="1"/>
    <col min="18" max="18" width="21" style="3" customWidth="1"/>
    <col min="19" max="19" width="10.28515625" style="3" customWidth="1"/>
    <col min="20" max="20" width="12.42578125" style="3" customWidth="1"/>
    <col min="21" max="21" width="15" style="3" customWidth="1"/>
    <col min="22" max="22" width="1.85546875" style="3" customWidth="1"/>
    <col min="23" max="23" width="7.7109375" style="3" customWidth="1"/>
    <col min="24" max="24" width="9.7109375" style="3" customWidth="1"/>
    <col min="25" max="25" width="13.5703125" style="3" customWidth="1"/>
    <col min="26" max="26" width="10.7109375" style="3" customWidth="1"/>
    <col min="27" max="27" width="9.140625" style="3"/>
    <col min="28" max="28" width="13" style="3" customWidth="1"/>
    <col min="29" max="29" width="21" style="3" customWidth="1"/>
    <col min="30" max="30" width="10.28515625" style="3" customWidth="1"/>
    <col min="31" max="31" width="12.42578125" style="3" customWidth="1"/>
    <col min="32" max="32" width="15" style="3" customWidth="1"/>
    <col min="33" max="33" width="1.85546875" style="3" customWidth="1"/>
    <col min="34" max="34" width="14.7109375" style="3" customWidth="1"/>
    <col min="35" max="35" width="25" style="3" customWidth="1"/>
    <col min="36" max="16384" width="9.140625" style="3"/>
  </cols>
  <sheetData>
    <row r="1" spans="1:35" ht="21.75" thickBot="1" x14ac:dyDescent="0.4">
      <c r="A1" s="272" t="s">
        <v>462</v>
      </c>
      <c r="B1"/>
      <c r="C1"/>
      <c r="D1"/>
      <c r="E1" s="730" t="str">
        <f>"Period 1"&amp;":"&amp;" "&amp;C7&amp;" "&amp;"1,"&amp;" "&amp;C8&amp;"-"&amp;" "&amp;PersonCalcYr2!K4&amp;" "&amp;PersonCalcYr2!N4&amp;","&amp;" "&amp;PersonCalcYr2!M4</f>
        <v>Period 1: Sept 1, 2022- Aug 31, 2023</v>
      </c>
      <c r="F1" s="265"/>
      <c r="G1" s="266"/>
      <c r="I1" s="1050" t="s">
        <v>529</v>
      </c>
      <c r="J1" s="840" t="str">
        <f>BudgetSummaryDetailed!G5</f>
        <v>RESEARCH</v>
      </c>
      <c r="L1" s="272"/>
      <c r="M1"/>
      <c r="N1"/>
      <c r="O1"/>
      <c r="P1" s="730" t="str">
        <f>"Period 2"&amp;":"&amp;" "&amp;N7&amp;" "&amp;"1,"&amp;" "&amp;N8&amp;"-"&amp;" "&amp;PersonCalcYr2!K5&amp;" "&amp;PersonCalcYr2!N5&amp;","&amp;" "&amp;PersonCalcYr2!M5</f>
        <v>Period 2: Sept 1, 2023- Aug 31, 2024</v>
      </c>
      <c r="Q1" s="265"/>
      <c r="R1" s="266"/>
      <c r="T1" s="466"/>
      <c r="U1" s="436"/>
      <c r="W1" s="272"/>
      <c r="X1"/>
      <c r="Y1"/>
      <c r="Z1"/>
      <c r="AA1" s="730" t="str">
        <f>"Period 3"&amp;":"&amp;" "&amp;Y7&amp;" "&amp;"1,"&amp;" "&amp;Y8&amp;"-"&amp;" "&amp;PersonCalcYr2!K6&amp;" "&amp;PersonCalcYr2!N6&amp;","&amp;" "&amp;PersonCalcYr2!M6</f>
        <v>Period 3: Sept 1, 2024- Aug 31, 2025</v>
      </c>
      <c r="AB1" s="265"/>
      <c r="AC1" s="266"/>
      <c r="AE1" s="466"/>
      <c r="AF1" s="436"/>
    </row>
    <row r="2" spans="1:35" ht="15.75" customHeight="1" thickBot="1" x14ac:dyDescent="0.3">
      <c r="A2" s="900" t="s">
        <v>712</v>
      </c>
      <c r="B2" s="899"/>
      <c r="C2" s="899"/>
      <c r="D2" s="899"/>
      <c r="E2" s="899"/>
      <c r="F2" s="899"/>
      <c r="G2" s="899"/>
      <c r="H2" s="899"/>
      <c r="I2" s="899"/>
      <c r="J2" s="899"/>
      <c r="L2" s="1241" t="s">
        <v>637</v>
      </c>
      <c r="M2" s="1242"/>
      <c r="N2" s="1242"/>
      <c r="O2" s="1242"/>
      <c r="P2" s="1242"/>
      <c r="Q2" s="1242"/>
      <c r="R2" s="1242"/>
      <c r="S2" s="1242"/>
      <c r="T2" s="1242"/>
      <c r="U2" s="1243"/>
      <c r="W2" s="1241" t="s">
        <v>637</v>
      </c>
      <c r="X2" s="1242"/>
      <c r="Y2" s="1242"/>
      <c r="Z2" s="1242"/>
      <c r="AA2" s="1242"/>
      <c r="AB2" s="1242"/>
      <c r="AC2" s="1242"/>
      <c r="AD2" s="1242"/>
      <c r="AE2" s="1242"/>
      <c r="AF2" s="1243"/>
      <c r="AH2" s="891" t="s">
        <v>696</v>
      </c>
    </row>
    <row r="3" spans="1:35" ht="15.75" customHeight="1" thickBot="1" x14ac:dyDescent="0.3">
      <c r="A3" s="900" t="s">
        <v>713</v>
      </c>
      <c r="B3" s="899"/>
      <c r="C3" s="899"/>
      <c r="D3" s="899"/>
      <c r="E3" s="899"/>
      <c r="F3" s="899"/>
      <c r="G3" s="899"/>
      <c r="H3" s="899"/>
      <c r="I3" s="899"/>
      <c r="J3" s="899"/>
      <c r="L3" s="1244"/>
      <c r="M3" s="1245"/>
      <c r="N3" s="1245"/>
      <c r="O3" s="1245"/>
      <c r="P3" s="1245"/>
      <c r="Q3" s="1245"/>
      <c r="R3" s="1245"/>
      <c r="S3" s="1245"/>
      <c r="T3" s="1245"/>
      <c r="U3" s="1246"/>
      <c r="W3" s="1244"/>
      <c r="X3" s="1245"/>
      <c r="Y3" s="1245"/>
      <c r="Z3" s="1245"/>
      <c r="AA3" s="1245"/>
      <c r="AB3" s="1245"/>
      <c r="AC3" s="1245"/>
      <c r="AD3" s="1245"/>
      <c r="AE3" s="1245"/>
      <c r="AF3" s="1246"/>
      <c r="AH3" s="901" t="s">
        <v>697</v>
      </c>
      <c r="AI3" s="892">
        <f>I6+T6+AE6</f>
        <v>0</v>
      </c>
    </row>
    <row r="4" spans="1:35" ht="16.5" thickBot="1" x14ac:dyDescent="0.3">
      <c r="A4" s="1264" t="s">
        <v>468</v>
      </c>
      <c r="B4" s="1264"/>
      <c r="C4" s="1264"/>
      <c r="D4" s="1264"/>
      <c r="E4" s="1264"/>
      <c r="F4" s="1264"/>
      <c r="G4" s="462"/>
      <c r="H4" s="461"/>
      <c r="I4" s="406"/>
      <c r="J4" s="406"/>
      <c r="L4" s="1244"/>
      <c r="M4" s="1245"/>
      <c r="N4" s="1245"/>
      <c r="O4" s="1245"/>
      <c r="P4" s="1245"/>
      <c r="Q4" s="1245"/>
      <c r="R4" s="1245"/>
      <c r="S4" s="1245"/>
      <c r="T4" s="1245"/>
      <c r="U4" s="1246"/>
      <c r="W4" s="1244"/>
      <c r="X4" s="1245"/>
      <c r="Y4" s="1245"/>
      <c r="Z4" s="1245"/>
      <c r="AA4" s="1245"/>
      <c r="AB4" s="1245"/>
      <c r="AC4" s="1245"/>
      <c r="AD4" s="1245"/>
      <c r="AE4" s="1245"/>
      <c r="AF4" s="1246"/>
      <c r="AH4" s="901" t="s">
        <v>698</v>
      </c>
      <c r="AI4" s="894">
        <f>I7+T7+AE7</f>
        <v>0</v>
      </c>
    </row>
    <row r="5" spans="1:35" ht="16.5" thickBot="1" x14ac:dyDescent="0.3">
      <c r="A5" s="1264" t="s">
        <v>469</v>
      </c>
      <c r="B5" s="1264"/>
      <c r="C5" s="1264"/>
      <c r="D5" s="1264"/>
      <c r="E5" s="1264"/>
      <c r="F5" s="462"/>
      <c r="G5" s="462"/>
      <c r="H5" s="461"/>
      <c r="I5" s="406"/>
      <c r="J5" s="406"/>
      <c r="L5" s="1247"/>
      <c r="M5" s="1248"/>
      <c r="N5" s="1248"/>
      <c r="O5" s="1248"/>
      <c r="P5" s="1248"/>
      <c r="Q5" s="1248"/>
      <c r="R5" s="1248"/>
      <c r="S5" s="1248"/>
      <c r="T5" s="1248"/>
      <c r="U5" s="1249"/>
      <c r="W5" s="1247"/>
      <c r="X5" s="1248"/>
      <c r="Y5" s="1248"/>
      <c r="Z5" s="1248"/>
      <c r="AA5" s="1248"/>
      <c r="AB5" s="1248"/>
      <c r="AC5" s="1248"/>
      <c r="AD5" s="1248"/>
      <c r="AE5" s="1248"/>
      <c r="AF5" s="1249"/>
      <c r="AH5" s="901" t="s">
        <v>699</v>
      </c>
      <c r="AI5" s="893">
        <f>AI3+AI4</f>
        <v>0</v>
      </c>
    </row>
    <row r="6" spans="1:35" ht="14.25" customHeight="1" thickBot="1" x14ac:dyDescent="0.35">
      <c r="A6" s="387"/>
      <c r="B6" s="388"/>
      <c r="C6" s="389"/>
      <c r="D6" s="389"/>
      <c r="E6" s="389"/>
      <c r="F6" s="411"/>
      <c r="G6" s="1250" t="s">
        <v>454</v>
      </c>
      <c r="H6" s="1251"/>
      <c r="I6" s="1187">
        <f>OtherDirectCosts!H3</f>
        <v>0</v>
      </c>
      <c r="J6" s="1188"/>
      <c r="L6" s="387"/>
      <c r="M6" s="388"/>
      <c r="N6" s="389"/>
      <c r="O6" s="389"/>
      <c r="P6" s="389"/>
      <c r="Q6" s="411"/>
      <c r="R6" s="1250" t="s">
        <v>591</v>
      </c>
      <c r="S6" s="1251"/>
      <c r="T6" s="1265">
        <f>OtherDirectCosts!Q3</f>
        <v>0</v>
      </c>
      <c r="U6" s="1266"/>
      <c r="W6" s="387"/>
      <c r="X6" s="388"/>
      <c r="Y6" s="389"/>
      <c r="Z6" s="389"/>
      <c r="AA6" s="389"/>
      <c r="AB6" s="411"/>
      <c r="AC6" s="1250" t="s">
        <v>649</v>
      </c>
      <c r="AD6" s="1251"/>
      <c r="AE6" s="1252">
        <f>OtherDirectCosts!Z3</f>
        <v>0</v>
      </c>
      <c r="AF6" s="1253"/>
    </row>
    <row r="7" spans="1:35" ht="14.25" customHeight="1" thickBot="1" x14ac:dyDescent="0.3">
      <c r="A7" s="409" t="s">
        <v>437</v>
      </c>
      <c r="B7" s="385" t="s">
        <v>14</v>
      </c>
      <c r="C7" s="386" t="str">
        <f>BudgetSummaryDetailed!H7</f>
        <v>Sept</v>
      </c>
      <c r="D7" s="1254" t="s">
        <v>658</v>
      </c>
      <c r="E7" s="1255"/>
      <c r="F7" s="1256">
        <f>BudgetSummaryDetailed!H8</f>
        <v>12</v>
      </c>
      <c r="G7" s="1250" t="s">
        <v>455</v>
      </c>
      <c r="H7" s="1251"/>
      <c r="I7" s="1262">
        <f>OtherDirectCosts!H4</f>
        <v>0</v>
      </c>
      <c r="J7" s="1263"/>
      <c r="L7" s="409" t="s">
        <v>437</v>
      </c>
      <c r="M7" s="385" t="s">
        <v>14</v>
      </c>
      <c r="N7" s="386" t="str">
        <f>BudgetSummaryDetailed!S7</f>
        <v>Sept</v>
      </c>
      <c r="O7" s="1254" t="s">
        <v>656</v>
      </c>
      <c r="P7" s="1255"/>
      <c r="Q7" s="1256">
        <f>BudgetSummaryDetailed!S8</f>
        <v>12</v>
      </c>
      <c r="R7" s="1250" t="s">
        <v>592</v>
      </c>
      <c r="S7" s="1251"/>
      <c r="T7" s="1262">
        <f>OtherDirectCosts!Q4</f>
        <v>0</v>
      </c>
      <c r="U7" s="1263"/>
      <c r="W7" s="409" t="s">
        <v>437</v>
      </c>
      <c r="X7" s="385" t="s">
        <v>14</v>
      </c>
      <c r="Y7" s="386" t="str">
        <f>BudgetSummaryDetailed!AD7</f>
        <v>Sept</v>
      </c>
      <c r="Z7" s="1254" t="s">
        <v>657</v>
      </c>
      <c r="AA7" s="1255"/>
      <c r="AB7" s="1256">
        <f>BudgetSummaryDetailed!AD8</f>
        <v>12</v>
      </c>
      <c r="AC7" s="1250" t="s">
        <v>650</v>
      </c>
      <c r="AD7" s="1251"/>
      <c r="AE7" s="1258">
        <f>OtherDirectCosts!Z4</f>
        <v>0</v>
      </c>
      <c r="AF7" s="1259"/>
    </row>
    <row r="8" spans="1:35" ht="14.25" customHeight="1" thickBot="1" x14ac:dyDescent="0.3">
      <c r="A8" s="463" t="s">
        <v>436</v>
      </c>
      <c r="B8" s="464" t="s">
        <v>15</v>
      </c>
      <c r="C8" s="465">
        <f>BudgetSummaryDetailed!I7</f>
        <v>2022</v>
      </c>
      <c r="D8" s="1254"/>
      <c r="E8" s="1255"/>
      <c r="F8" s="1257"/>
      <c r="G8" s="1260" t="s">
        <v>435</v>
      </c>
      <c r="H8" s="1261"/>
      <c r="I8" s="1262">
        <f>OtherDirectCosts!H5</f>
        <v>0</v>
      </c>
      <c r="J8" s="1263"/>
      <c r="L8" s="463" t="s">
        <v>436</v>
      </c>
      <c r="M8" s="464" t="s">
        <v>15</v>
      </c>
      <c r="N8" s="465">
        <f>BudgetSummaryDetailed!T7</f>
        <v>2023</v>
      </c>
      <c r="O8" s="1254"/>
      <c r="P8" s="1255"/>
      <c r="Q8" s="1257"/>
      <c r="R8" s="1260" t="s">
        <v>593</v>
      </c>
      <c r="S8" s="1261"/>
      <c r="T8" s="1262">
        <f>OtherDirectCosts!Q5</f>
        <v>0</v>
      </c>
      <c r="U8" s="1263"/>
      <c r="W8" s="463" t="s">
        <v>436</v>
      </c>
      <c r="X8" s="464" t="s">
        <v>15</v>
      </c>
      <c r="Y8" s="465">
        <f>BudgetSummaryDetailed!AE7</f>
        <v>2024</v>
      </c>
      <c r="Z8" s="1254"/>
      <c r="AA8" s="1255"/>
      <c r="AB8" s="1257"/>
      <c r="AC8" s="1260" t="s">
        <v>651</v>
      </c>
      <c r="AD8" s="1261"/>
      <c r="AE8" s="1258">
        <f>OtherDirectCosts!Z5</f>
        <v>0</v>
      </c>
      <c r="AF8" s="1259"/>
    </row>
    <row r="9" spans="1:35" ht="6.75" customHeight="1" x14ac:dyDescent="0.25"/>
    <row r="10" spans="1:35" ht="17.25" customHeight="1" thickBot="1" x14ac:dyDescent="0.3">
      <c r="A10" s="1019" t="s">
        <v>210</v>
      </c>
      <c r="B10" s="1020"/>
      <c r="C10" s="1020"/>
      <c r="D10" s="1020"/>
      <c r="E10" s="1020"/>
      <c r="F10" s="1020"/>
      <c r="G10" s="1020"/>
      <c r="H10" s="1020"/>
      <c r="I10" s="1020"/>
      <c r="J10" s="1020"/>
      <c r="L10" s="1019" t="s">
        <v>210</v>
      </c>
      <c r="M10" s="1020"/>
      <c r="N10" s="1020"/>
      <c r="O10" s="1020"/>
      <c r="P10" s="1020"/>
      <c r="Q10" s="1020"/>
      <c r="R10" s="1020"/>
      <c r="S10" s="1020"/>
      <c r="T10" s="1020"/>
      <c r="U10" s="1020"/>
      <c r="W10" s="1019" t="s">
        <v>210</v>
      </c>
      <c r="X10" s="1020"/>
      <c r="Y10" s="1020"/>
      <c r="Z10" s="1020"/>
      <c r="AA10" s="1020"/>
      <c r="AB10" s="1020"/>
      <c r="AC10" s="1020"/>
      <c r="AD10" s="1020"/>
      <c r="AE10" s="1020"/>
      <c r="AF10" s="1020"/>
    </row>
    <row r="11" spans="1:35" ht="26.25" thickBot="1" x14ac:dyDescent="0.3">
      <c r="A11" s="1021" t="s">
        <v>463</v>
      </c>
      <c r="B11" s="1021" t="s">
        <v>530</v>
      </c>
      <c r="C11" s="1021" t="s">
        <v>464</v>
      </c>
      <c r="D11" s="1021" t="s">
        <v>540</v>
      </c>
      <c r="E11" s="1021" t="s">
        <v>541</v>
      </c>
      <c r="F11" s="1021" t="s">
        <v>461</v>
      </c>
      <c r="G11" s="1022" t="s">
        <v>466</v>
      </c>
      <c r="H11" s="1021" t="s">
        <v>456</v>
      </c>
      <c r="I11" s="1021" t="s">
        <v>725</v>
      </c>
      <c r="J11" s="1023" t="s">
        <v>567</v>
      </c>
      <c r="K11" s="903"/>
      <c r="L11" s="1021" t="s">
        <v>463</v>
      </c>
      <c r="M11" s="1021" t="s">
        <v>530</v>
      </c>
      <c r="N11" s="1021" t="s">
        <v>464</v>
      </c>
      <c r="O11" s="1021" t="s">
        <v>540</v>
      </c>
      <c r="P11" s="1021" t="s">
        <v>541</v>
      </c>
      <c r="Q11" s="1021" t="s">
        <v>461</v>
      </c>
      <c r="R11" s="1022" t="s">
        <v>466</v>
      </c>
      <c r="S11" s="1021" t="s">
        <v>456</v>
      </c>
      <c r="T11" s="1021" t="s">
        <v>724</v>
      </c>
      <c r="U11" s="1023" t="s">
        <v>567</v>
      </c>
      <c r="V11" s="267"/>
      <c r="W11" s="1021" t="s">
        <v>463</v>
      </c>
      <c r="X11" s="1021" t="s">
        <v>530</v>
      </c>
      <c r="Y11" s="1021" t="s">
        <v>464</v>
      </c>
      <c r="Z11" s="1021" t="s">
        <v>540</v>
      </c>
      <c r="AA11" s="1021" t="s">
        <v>541</v>
      </c>
      <c r="AB11" s="1021" t="s">
        <v>461</v>
      </c>
      <c r="AC11" s="1022" t="s">
        <v>466</v>
      </c>
      <c r="AD11" s="1021" t="s">
        <v>456</v>
      </c>
      <c r="AE11" s="1021" t="s">
        <v>723</v>
      </c>
      <c r="AF11" s="1023" t="s">
        <v>567</v>
      </c>
    </row>
    <row r="12" spans="1:35" ht="12" customHeight="1" x14ac:dyDescent="0.25">
      <c r="A12" s="1225">
        <v>1</v>
      </c>
      <c r="B12" s="1228" t="s">
        <v>702</v>
      </c>
      <c r="C12" s="1232">
        <v>1</v>
      </c>
      <c r="D12" s="1232">
        <v>1</v>
      </c>
      <c r="E12" s="1232">
        <v>1</v>
      </c>
      <c r="F12" s="1228" t="s">
        <v>700</v>
      </c>
      <c r="G12" s="1024" t="s">
        <v>457</v>
      </c>
      <c r="H12" s="1025">
        <v>0</v>
      </c>
      <c r="I12" s="1026">
        <f>C12*H12</f>
        <v>0</v>
      </c>
      <c r="J12" s="1027"/>
      <c r="K12" s="903"/>
      <c r="L12" s="1225">
        <f t="shared" ref="L12:Q12" si="0">A12</f>
        <v>1</v>
      </c>
      <c r="M12" s="1228" t="str">
        <f t="shared" si="0"/>
        <v>purpose of trip?</v>
      </c>
      <c r="N12" s="1232">
        <f t="shared" si="0"/>
        <v>1</v>
      </c>
      <c r="O12" s="1232">
        <f t="shared" si="0"/>
        <v>1</v>
      </c>
      <c r="P12" s="1232">
        <f t="shared" si="0"/>
        <v>1</v>
      </c>
      <c r="Q12" s="1228" t="str">
        <f t="shared" si="0"/>
        <v>where traveling to?</v>
      </c>
      <c r="R12" s="1024" t="s">
        <v>457</v>
      </c>
      <c r="S12" s="1025">
        <f>H12</f>
        <v>0</v>
      </c>
      <c r="T12" s="1026">
        <f>N12*S12</f>
        <v>0</v>
      </c>
      <c r="U12" s="1027"/>
      <c r="V12" s="267"/>
      <c r="W12" s="1225">
        <f t="shared" ref="W12:AB12" si="1">L12</f>
        <v>1</v>
      </c>
      <c r="X12" s="1228" t="str">
        <f t="shared" si="1"/>
        <v>purpose of trip?</v>
      </c>
      <c r="Y12" s="1232">
        <f t="shared" si="1"/>
        <v>1</v>
      </c>
      <c r="Z12" s="1232">
        <f t="shared" si="1"/>
        <v>1</v>
      </c>
      <c r="AA12" s="1232">
        <f t="shared" si="1"/>
        <v>1</v>
      </c>
      <c r="AB12" s="1228" t="str">
        <f t="shared" si="1"/>
        <v>where traveling to?</v>
      </c>
      <c r="AC12" s="1024" t="s">
        <v>457</v>
      </c>
      <c r="AD12" s="1025">
        <f>S12</f>
        <v>0</v>
      </c>
      <c r="AE12" s="1026">
        <f>Y12*AD12</f>
        <v>0</v>
      </c>
      <c r="AF12" s="1027"/>
    </row>
    <row r="13" spans="1:35" ht="12" customHeight="1" x14ac:dyDescent="0.25">
      <c r="A13" s="1226"/>
      <c r="B13" s="1229"/>
      <c r="C13" s="1233"/>
      <c r="D13" s="1234"/>
      <c r="E13" s="1234"/>
      <c r="F13" s="1229"/>
      <c r="G13" s="1028" t="s">
        <v>467</v>
      </c>
      <c r="H13" s="1029">
        <v>0</v>
      </c>
      <c r="I13" s="1030">
        <f>C12*H13</f>
        <v>0</v>
      </c>
      <c r="J13" s="1031"/>
      <c r="K13" s="903"/>
      <c r="L13" s="1226"/>
      <c r="M13" s="1229"/>
      <c r="N13" s="1233"/>
      <c r="O13" s="1234"/>
      <c r="P13" s="1234"/>
      <c r="Q13" s="1229"/>
      <c r="R13" s="1028" t="s">
        <v>467</v>
      </c>
      <c r="S13" s="1029">
        <f>H13</f>
        <v>0</v>
      </c>
      <c r="T13" s="1030">
        <f>N12*S13</f>
        <v>0</v>
      </c>
      <c r="U13" s="1031"/>
      <c r="V13" s="267"/>
      <c r="W13" s="1226"/>
      <c r="X13" s="1229"/>
      <c r="Y13" s="1233"/>
      <c r="Z13" s="1234"/>
      <c r="AA13" s="1234"/>
      <c r="AB13" s="1229"/>
      <c r="AC13" s="1028" t="s">
        <v>467</v>
      </c>
      <c r="AD13" s="1029">
        <f>S13</f>
        <v>0</v>
      </c>
      <c r="AE13" s="1030">
        <f>Y12*AD13</f>
        <v>0</v>
      </c>
      <c r="AF13" s="1031"/>
    </row>
    <row r="14" spans="1:35" ht="12" customHeight="1" x14ac:dyDescent="0.25">
      <c r="A14" s="1226"/>
      <c r="B14" s="1230"/>
      <c r="C14" s="1032" t="s">
        <v>465</v>
      </c>
      <c r="D14" s="1235"/>
      <c r="E14" s="1234"/>
      <c r="F14" s="1229"/>
      <c r="G14" s="1028" t="s">
        <v>458</v>
      </c>
      <c r="H14" s="1029">
        <v>0</v>
      </c>
      <c r="I14" s="1030">
        <f>C12*E12*H14</f>
        <v>0</v>
      </c>
      <c r="J14" s="1031"/>
      <c r="K14" s="903"/>
      <c r="L14" s="1226"/>
      <c r="M14" s="1230"/>
      <c r="N14" s="1032" t="s">
        <v>465</v>
      </c>
      <c r="O14" s="1235"/>
      <c r="P14" s="1234"/>
      <c r="Q14" s="1229"/>
      <c r="R14" s="1028" t="s">
        <v>458</v>
      </c>
      <c r="S14" s="1029">
        <f>H14</f>
        <v>0</v>
      </c>
      <c r="T14" s="1030">
        <f>N12*P12*S14</f>
        <v>0</v>
      </c>
      <c r="U14" s="1031"/>
      <c r="V14" s="267"/>
      <c r="W14" s="1226"/>
      <c r="X14" s="1230"/>
      <c r="Y14" s="1032" t="s">
        <v>465</v>
      </c>
      <c r="Z14" s="1235"/>
      <c r="AA14" s="1234"/>
      <c r="AB14" s="1229"/>
      <c r="AC14" s="1028" t="s">
        <v>458</v>
      </c>
      <c r="AD14" s="1029">
        <f>S14</f>
        <v>0</v>
      </c>
      <c r="AE14" s="1030">
        <f>Y12*AA12*AD14</f>
        <v>0</v>
      </c>
      <c r="AF14" s="1031"/>
    </row>
    <row r="15" spans="1:35" ht="12" customHeight="1" x14ac:dyDescent="0.25">
      <c r="A15" s="1226"/>
      <c r="B15" s="1230"/>
      <c r="C15" s="1033"/>
      <c r="D15" s="1235"/>
      <c r="E15" s="1234"/>
      <c r="F15" s="1229"/>
      <c r="G15" s="1028" t="s">
        <v>549</v>
      </c>
      <c r="H15" s="1029">
        <v>0</v>
      </c>
      <c r="I15" s="1030">
        <f>H15*C12</f>
        <v>0</v>
      </c>
      <c r="J15" s="1031"/>
      <c r="K15" s="903"/>
      <c r="L15" s="1226"/>
      <c r="M15" s="1230"/>
      <c r="N15" s="1033"/>
      <c r="O15" s="1235"/>
      <c r="P15" s="1234"/>
      <c r="Q15" s="1229"/>
      <c r="R15" s="1028" t="s">
        <v>549</v>
      </c>
      <c r="S15" s="1029">
        <f>H15</f>
        <v>0</v>
      </c>
      <c r="T15" s="1030">
        <f>S15*N12</f>
        <v>0</v>
      </c>
      <c r="U15" s="1031"/>
      <c r="V15" s="267"/>
      <c r="W15" s="1226"/>
      <c r="X15" s="1230"/>
      <c r="Y15" s="1033"/>
      <c r="Z15" s="1235"/>
      <c r="AA15" s="1234"/>
      <c r="AB15" s="1229"/>
      <c r="AC15" s="1028" t="s">
        <v>549</v>
      </c>
      <c r="AD15" s="1029">
        <f>S15</f>
        <v>0</v>
      </c>
      <c r="AE15" s="1030">
        <f>AD15*Y12</f>
        <v>0</v>
      </c>
      <c r="AF15" s="1031"/>
    </row>
    <row r="16" spans="1:35" ht="12" customHeight="1" x14ac:dyDescent="0.25">
      <c r="A16" s="1226"/>
      <c r="B16" s="1230"/>
      <c r="C16" s="1229" t="s">
        <v>701</v>
      </c>
      <c r="D16" s="1235"/>
      <c r="E16" s="1234"/>
      <c r="F16" s="1229"/>
      <c r="G16" s="1028" t="s">
        <v>460</v>
      </c>
      <c r="H16" s="1029">
        <v>0</v>
      </c>
      <c r="I16" s="1030">
        <f>C12*(D12-2)*H16</f>
        <v>0</v>
      </c>
      <c r="J16" s="1031"/>
      <c r="K16" s="903"/>
      <c r="L16" s="1226"/>
      <c r="M16" s="1230"/>
      <c r="N16" s="1229" t="str">
        <f>C16</f>
        <v>names of travelers?</v>
      </c>
      <c r="O16" s="1235"/>
      <c r="P16" s="1234"/>
      <c r="Q16" s="1229"/>
      <c r="R16" s="1028" t="s">
        <v>460</v>
      </c>
      <c r="S16" s="1029">
        <f>H16</f>
        <v>0</v>
      </c>
      <c r="T16" s="1030">
        <f>N12*(O12-2)*S16</f>
        <v>0</v>
      </c>
      <c r="U16" s="1031"/>
      <c r="V16" s="267"/>
      <c r="W16" s="1226"/>
      <c r="X16" s="1230"/>
      <c r="Y16" s="1229" t="str">
        <f>N16</f>
        <v>names of travelers?</v>
      </c>
      <c r="Z16" s="1235"/>
      <c r="AA16" s="1234"/>
      <c r="AB16" s="1229"/>
      <c r="AC16" s="1028" t="s">
        <v>460</v>
      </c>
      <c r="AD16" s="1029">
        <f>S16</f>
        <v>0</v>
      </c>
      <c r="AE16" s="1030">
        <f>Y12*(Z12-2)*AD16</f>
        <v>0</v>
      </c>
      <c r="AF16" s="1031"/>
    </row>
    <row r="17" spans="1:32" ht="12" customHeight="1" thickBot="1" x14ac:dyDescent="0.3">
      <c r="A17" s="1226"/>
      <c r="B17" s="1230"/>
      <c r="C17" s="1229"/>
      <c r="D17" s="1235"/>
      <c r="E17" s="1234"/>
      <c r="F17" s="1229"/>
      <c r="G17" s="1034" t="s">
        <v>459</v>
      </c>
      <c r="H17" s="1030">
        <f>H16*0.75</f>
        <v>0</v>
      </c>
      <c r="I17" s="1030">
        <f>C12*2*H17</f>
        <v>0</v>
      </c>
      <c r="J17" s="1031"/>
      <c r="K17" s="903"/>
      <c r="L17" s="1226"/>
      <c r="M17" s="1230"/>
      <c r="N17" s="1229"/>
      <c r="O17" s="1235"/>
      <c r="P17" s="1234"/>
      <c r="Q17" s="1229"/>
      <c r="R17" s="1034" t="s">
        <v>459</v>
      </c>
      <c r="S17" s="1030">
        <f>S16*0.75</f>
        <v>0</v>
      </c>
      <c r="T17" s="1030">
        <f>N12*2*S17</f>
        <v>0</v>
      </c>
      <c r="U17" s="1031"/>
      <c r="V17" s="267"/>
      <c r="W17" s="1226"/>
      <c r="X17" s="1230"/>
      <c r="Y17" s="1229"/>
      <c r="Z17" s="1235"/>
      <c r="AA17" s="1234"/>
      <c r="AB17" s="1229"/>
      <c r="AC17" s="1034" t="s">
        <v>459</v>
      </c>
      <c r="AD17" s="1030">
        <f>AD16*0.75</f>
        <v>0</v>
      </c>
      <c r="AE17" s="1030">
        <f>Y12*2*AD17</f>
        <v>0</v>
      </c>
      <c r="AF17" s="1031"/>
    </row>
    <row r="18" spans="1:32" ht="12" customHeight="1" thickBot="1" x14ac:dyDescent="0.3">
      <c r="A18" s="1227"/>
      <c r="B18" s="1231"/>
      <c r="C18" s="1238"/>
      <c r="D18" s="1236"/>
      <c r="E18" s="1237"/>
      <c r="F18" s="1238"/>
      <c r="G18" s="1239" t="s">
        <v>539</v>
      </c>
      <c r="H18" s="1240"/>
      <c r="I18" s="1035">
        <f>SUM(I12:I17)*A12</f>
        <v>0</v>
      </c>
      <c r="J18" s="1036">
        <f>I18*'F&amp;ARatesCalc'!J13</f>
        <v>0</v>
      </c>
      <c r="K18" s="267"/>
      <c r="L18" s="1227"/>
      <c r="M18" s="1231"/>
      <c r="N18" s="1238"/>
      <c r="O18" s="1236"/>
      <c r="P18" s="1237"/>
      <c r="Q18" s="1238"/>
      <c r="R18" s="1239" t="s">
        <v>539</v>
      </c>
      <c r="S18" s="1240"/>
      <c r="T18" s="1035">
        <f>SUM(T12:T17)*L12</f>
        <v>0</v>
      </c>
      <c r="U18" s="1036">
        <f>T18*'F&amp;ARatesCalc'!J19</f>
        <v>0</v>
      </c>
      <c r="V18" s="267"/>
      <c r="W18" s="1227"/>
      <c r="X18" s="1231"/>
      <c r="Y18" s="1238"/>
      <c r="Z18" s="1236"/>
      <c r="AA18" s="1237"/>
      <c r="AB18" s="1238"/>
      <c r="AC18" s="1239" t="s">
        <v>539</v>
      </c>
      <c r="AD18" s="1240"/>
      <c r="AE18" s="1035">
        <f>SUM(AE12:AE17)*W12</f>
        <v>0</v>
      </c>
      <c r="AF18" s="1036">
        <f>AE18*'F&amp;ARatesCalc'!J25</f>
        <v>0</v>
      </c>
    </row>
    <row r="19" spans="1:32" ht="7.5" customHeight="1" thickBot="1" x14ac:dyDescent="0.3">
      <c r="A19" s="1037"/>
      <c r="B19" s="1038"/>
      <c r="C19" s="1039"/>
      <c r="D19" s="1039"/>
      <c r="E19" s="1039"/>
      <c r="F19" s="1038"/>
      <c r="G19" s="1040"/>
      <c r="H19" s="1040"/>
      <c r="I19" s="1041"/>
      <c r="J19" s="1041"/>
      <c r="K19" s="267"/>
      <c r="L19" s="1037"/>
      <c r="M19" s="1038"/>
      <c r="N19" s="1039"/>
      <c r="O19" s="1039"/>
      <c r="P19" s="1039"/>
      <c r="Q19" s="1038"/>
      <c r="R19" s="1040"/>
      <c r="S19" s="1040"/>
      <c r="T19" s="1041"/>
      <c r="U19" s="1041"/>
      <c r="V19" s="267"/>
      <c r="W19" s="1037"/>
      <c r="X19" s="1038"/>
      <c r="Y19" s="1039"/>
      <c r="Z19" s="1039"/>
      <c r="AA19" s="1039"/>
      <c r="AB19" s="1038"/>
      <c r="AC19" s="1040"/>
      <c r="AD19" s="1040"/>
      <c r="AE19" s="1041"/>
      <c r="AF19" s="1041"/>
    </row>
    <row r="20" spans="1:32" ht="12" customHeight="1" x14ac:dyDescent="0.25">
      <c r="A20" s="1225">
        <v>1</v>
      </c>
      <c r="B20" s="1228" t="s">
        <v>702</v>
      </c>
      <c r="C20" s="1232">
        <v>1</v>
      </c>
      <c r="D20" s="1232">
        <v>1</v>
      </c>
      <c r="E20" s="1232">
        <v>1</v>
      </c>
      <c r="F20" s="1228" t="s">
        <v>700</v>
      </c>
      <c r="G20" s="1024" t="s">
        <v>457</v>
      </c>
      <c r="H20" s="1042">
        <v>0</v>
      </c>
      <c r="I20" s="1026">
        <f>C20*H20</f>
        <v>0</v>
      </c>
      <c r="J20" s="1027"/>
      <c r="K20" s="267"/>
      <c r="L20" s="1225">
        <f t="shared" ref="L20:Q20" si="2">A20</f>
        <v>1</v>
      </c>
      <c r="M20" s="1228" t="str">
        <f t="shared" si="2"/>
        <v>purpose of trip?</v>
      </c>
      <c r="N20" s="1232">
        <f t="shared" si="2"/>
        <v>1</v>
      </c>
      <c r="O20" s="1232">
        <f t="shared" si="2"/>
        <v>1</v>
      </c>
      <c r="P20" s="1232">
        <f t="shared" si="2"/>
        <v>1</v>
      </c>
      <c r="Q20" s="1228" t="str">
        <f t="shared" si="2"/>
        <v>where traveling to?</v>
      </c>
      <c r="R20" s="1024" t="s">
        <v>457</v>
      </c>
      <c r="S20" s="1042">
        <f>H20</f>
        <v>0</v>
      </c>
      <c r="T20" s="1026">
        <f>N20*S20</f>
        <v>0</v>
      </c>
      <c r="U20" s="1027"/>
      <c r="V20" s="267"/>
      <c r="W20" s="1225">
        <f t="shared" ref="W20:AB20" si="3">L20</f>
        <v>1</v>
      </c>
      <c r="X20" s="1228" t="str">
        <f t="shared" si="3"/>
        <v>purpose of trip?</v>
      </c>
      <c r="Y20" s="1232">
        <f t="shared" si="3"/>
        <v>1</v>
      </c>
      <c r="Z20" s="1232">
        <f t="shared" si="3"/>
        <v>1</v>
      </c>
      <c r="AA20" s="1232">
        <f t="shared" si="3"/>
        <v>1</v>
      </c>
      <c r="AB20" s="1228" t="str">
        <f t="shared" si="3"/>
        <v>where traveling to?</v>
      </c>
      <c r="AC20" s="1024" t="s">
        <v>457</v>
      </c>
      <c r="AD20" s="1042">
        <f>S20</f>
        <v>0</v>
      </c>
      <c r="AE20" s="1026">
        <f>Y20*AD20</f>
        <v>0</v>
      </c>
      <c r="AF20" s="1027"/>
    </row>
    <row r="21" spans="1:32" ht="12" customHeight="1" x14ac:dyDescent="0.25">
      <c r="A21" s="1226"/>
      <c r="B21" s="1229"/>
      <c r="C21" s="1233"/>
      <c r="D21" s="1234"/>
      <c r="E21" s="1234"/>
      <c r="F21" s="1229"/>
      <c r="G21" s="1028" t="s">
        <v>467</v>
      </c>
      <c r="H21" s="1043">
        <v>0</v>
      </c>
      <c r="I21" s="1030">
        <f>C20*H21</f>
        <v>0</v>
      </c>
      <c r="J21" s="1031"/>
      <c r="K21" s="267"/>
      <c r="L21" s="1226"/>
      <c r="M21" s="1229"/>
      <c r="N21" s="1233"/>
      <c r="O21" s="1234"/>
      <c r="P21" s="1234"/>
      <c r="Q21" s="1229"/>
      <c r="R21" s="1028" t="s">
        <v>467</v>
      </c>
      <c r="S21" s="1043">
        <f>H21</f>
        <v>0</v>
      </c>
      <c r="T21" s="1030">
        <f>N20*S21</f>
        <v>0</v>
      </c>
      <c r="U21" s="1031"/>
      <c r="V21" s="267"/>
      <c r="W21" s="1226"/>
      <c r="X21" s="1229"/>
      <c r="Y21" s="1233"/>
      <c r="Z21" s="1234"/>
      <c r="AA21" s="1234"/>
      <c r="AB21" s="1229"/>
      <c r="AC21" s="1028" t="s">
        <v>467</v>
      </c>
      <c r="AD21" s="1043">
        <f>S21</f>
        <v>0</v>
      </c>
      <c r="AE21" s="1030">
        <f>Y20*AD21</f>
        <v>0</v>
      </c>
      <c r="AF21" s="1031"/>
    </row>
    <row r="22" spans="1:32" ht="12" customHeight="1" x14ac:dyDescent="0.25">
      <c r="A22" s="1226"/>
      <c r="B22" s="1230"/>
      <c r="C22" s="1044" t="s">
        <v>465</v>
      </c>
      <c r="D22" s="1235"/>
      <c r="E22" s="1234"/>
      <c r="F22" s="1229"/>
      <c r="G22" s="1028" t="s">
        <v>458</v>
      </c>
      <c r="H22" s="1043">
        <v>0</v>
      </c>
      <c r="I22" s="1030">
        <f>C20*E20*H22</f>
        <v>0</v>
      </c>
      <c r="J22" s="1031"/>
      <c r="K22" s="267"/>
      <c r="L22" s="1226"/>
      <c r="M22" s="1230"/>
      <c r="N22" s="1044" t="s">
        <v>465</v>
      </c>
      <c r="O22" s="1235"/>
      <c r="P22" s="1234"/>
      <c r="Q22" s="1229"/>
      <c r="R22" s="1028" t="s">
        <v>458</v>
      </c>
      <c r="S22" s="1043">
        <f>H22</f>
        <v>0</v>
      </c>
      <c r="T22" s="1030">
        <f>N20*P20*S22</f>
        <v>0</v>
      </c>
      <c r="U22" s="1031"/>
      <c r="V22" s="267"/>
      <c r="W22" s="1226"/>
      <c r="X22" s="1230"/>
      <c r="Y22" s="1044" t="s">
        <v>465</v>
      </c>
      <c r="Z22" s="1235"/>
      <c r="AA22" s="1234"/>
      <c r="AB22" s="1229"/>
      <c r="AC22" s="1028" t="s">
        <v>458</v>
      </c>
      <c r="AD22" s="1043">
        <f>S22</f>
        <v>0</v>
      </c>
      <c r="AE22" s="1030">
        <f>Y20*AA20*AD22</f>
        <v>0</v>
      </c>
      <c r="AF22" s="1031"/>
    </row>
    <row r="23" spans="1:32" ht="12" customHeight="1" x14ac:dyDescent="0.25">
      <c r="A23" s="1226"/>
      <c r="B23" s="1230"/>
      <c r="C23" s="1045"/>
      <c r="D23" s="1235"/>
      <c r="E23" s="1234"/>
      <c r="F23" s="1229"/>
      <c r="G23" s="1028" t="s">
        <v>549</v>
      </c>
      <c r="H23" s="1043">
        <v>0</v>
      </c>
      <c r="I23" s="1030">
        <f>H23*C20</f>
        <v>0</v>
      </c>
      <c r="J23" s="1031"/>
      <c r="K23" s="267"/>
      <c r="L23" s="1226"/>
      <c r="M23" s="1230"/>
      <c r="N23" s="1045"/>
      <c r="O23" s="1235"/>
      <c r="P23" s="1234"/>
      <c r="Q23" s="1229"/>
      <c r="R23" s="1028" t="s">
        <v>549</v>
      </c>
      <c r="S23" s="1043">
        <f>H23</f>
        <v>0</v>
      </c>
      <c r="T23" s="1030">
        <f>S23*N20</f>
        <v>0</v>
      </c>
      <c r="U23" s="1031"/>
      <c r="V23" s="267"/>
      <c r="W23" s="1226"/>
      <c r="X23" s="1230"/>
      <c r="Y23" s="1045"/>
      <c r="Z23" s="1235"/>
      <c r="AA23" s="1234"/>
      <c r="AB23" s="1229"/>
      <c r="AC23" s="1028" t="s">
        <v>549</v>
      </c>
      <c r="AD23" s="1043">
        <f>S23</f>
        <v>0</v>
      </c>
      <c r="AE23" s="1030">
        <f>AD23*Y20</f>
        <v>0</v>
      </c>
      <c r="AF23" s="1031"/>
    </row>
    <row r="24" spans="1:32" ht="12" customHeight="1" x14ac:dyDescent="0.25">
      <c r="A24" s="1226"/>
      <c r="B24" s="1230"/>
      <c r="C24" s="1229" t="s">
        <v>701</v>
      </c>
      <c r="D24" s="1235"/>
      <c r="E24" s="1234"/>
      <c r="F24" s="1229"/>
      <c r="G24" s="1028" t="s">
        <v>460</v>
      </c>
      <c r="H24" s="1043">
        <v>0</v>
      </c>
      <c r="I24" s="1030">
        <f>C20*(D20-2)*H24</f>
        <v>0</v>
      </c>
      <c r="J24" s="1031"/>
      <c r="K24" s="267"/>
      <c r="L24" s="1226"/>
      <c r="M24" s="1230"/>
      <c r="N24" s="1229" t="str">
        <f>C24</f>
        <v>names of travelers?</v>
      </c>
      <c r="O24" s="1235"/>
      <c r="P24" s="1234"/>
      <c r="Q24" s="1229"/>
      <c r="R24" s="1028" t="s">
        <v>460</v>
      </c>
      <c r="S24" s="1043">
        <f>H24</f>
        <v>0</v>
      </c>
      <c r="T24" s="1030">
        <f>N20*(O20-2)*S24</f>
        <v>0</v>
      </c>
      <c r="U24" s="1031"/>
      <c r="V24" s="267"/>
      <c r="W24" s="1226"/>
      <c r="X24" s="1230"/>
      <c r="Y24" s="1229" t="str">
        <f>N24</f>
        <v>names of travelers?</v>
      </c>
      <c r="Z24" s="1235"/>
      <c r="AA24" s="1234"/>
      <c r="AB24" s="1229"/>
      <c r="AC24" s="1028" t="s">
        <v>460</v>
      </c>
      <c r="AD24" s="1043">
        <f>S24</f>
        <v>0</v>
      </c>
      <c r="AE24" s="1030">
        <f>Y20*(Z20-2)*AD24</f>
        <v>0</v>
      </c>
      <c r="AF24" s="1031"/>
    </row>
    <row r="25" spans="1:32" ht="12" customHeight="1" thickBot="1" x14ac:dyDescent="0.3">
      <c r="A25" s="1226"/>
      <c r="B25" s="1230"/>
      <c r="C25" s="1229"/>
      <c r="D25" s="1235"/>
      <c r="E25" s="1234"/>
      <c r="F25" s="1229"/>
      <c r="G25" s="1034" t="s">
        <v>459</v>
      </c>
      <c r="H25" s="1030">
        <f>H24*0.75</f>
        <v>0</v>
      </c>
      <c r="I25" s="1030">
        <f>C20*2*H25</f>
        <v>0</v>
      </c>
      <c r="J25" s="1031"/>
      <c r="K25" s="267"/>
      <c r="L25" s="1226"/>
      <c r="M25" s="1230"/>
      <c r="N25" s="1229"/>
      <c r="O25" s="1235"/>
      <c r="P25" s="1234"/>
      <c r="Q25" s="1229"/>
      <c r="R25" s="1034" t="s">
        <v>459</v>
      </c>
      <c r="S25" s="1030">
        <f>S24*0.75</f>
        <v>0</v>
      </c>
      <c r="T25" s="1030">
        <f>N20*2*S25</f>
        <v>0</v>
      </c>
      <c r="U25" s="1031"/>
      <c r="V25" s="267"/>
      <c r="W25" s="1226"/>
      <c r="X25" s="1230"/>
      <c r="Y25" s="1229"/>
      <c r="Z25" s="1235"/>
      <c r="AA25" s="1234"/>
      <c r="AB25" s="1229"/>
      <c r="AC25" s="1034" t="s">
        <v>459</v>
      </c>
      <c r="AD25" s="1030">
        <f>AD24*0.75</f>
        <v>0</v>
      </c>
      <c r="AE25" s="1030">
        <f>Y20*2*AD25</f>
        <v>0</v>
      </c>
      <c r="AF25" s="1031"/>
    </row>
    <row r="26" spans="1:32" ht="12" customHeight="1" thickBot="1" x14ac:dyDescent="0.3">
      <c r="A26" s="1227"/>
      <c r="B26" s="1231"/>
      <c r="C26" s="1238"/>
      <c r="D26" s="1236"/>
      <c r="E26" s="1237"/>
      <c r="F26" s="1238"/>
      <c r="G26" s="1239" t="s">
        <v>539</v>
      </c>
      <c r="H26" s="1240"/>
      <c r="I26" s="1035">
        <f>SUM(I20:I25)*A20</f>
        <v>0</v>
      </c>
      <c r="J26" s="1036">
        <f>I26*'F&amp;ARatesCalc'!J13</f>
        <v>0</v>
      </c>
      <c r="K26" s="267"/>
      <c r="L26" s="1227"/>
      <c r="M26" s="1231"/>
      <c r="N26" s="1238"/>
      <c r="O26" s="1236"/>
      <c r="P26" s="1237"/>
      <c r="Q26" s="1238"/>
      <c r="R26" s="1239" t="s">
        <v>539</v>
      </c>
      <c r="S26" s="1240"/>
      <c r="T26" s="1035">
        <f>SUM(T20:T25)*L20</f>
        <v>0</v>
      </c>
      <c r="U26" s="1036">
        <f>T26*'F&amp;ARatesCalc'!J19</f>
        <v>0</v>
      </c>
      <c r="V26" s="267"/>
      <c r="W26" s="1227"/>
      <c r="X26" s="1231"/>
      <c r="Y26" s="1238"/>
      <c r="Z26" s="1236"/>
      <c r="AA26" s="1237"/>
      <c r="AB26" s="1238"/>
      <c r="AC26" s="1239" t="s">
        <v>539</v>
      </c>
      <c r="AD26" s="1240"/>
      <c r="AE26" s="1035">
        <f>SUM(AE20:AE25)*W20</f>
        <v>0</v>
      </c>
      <c r="AF26" s="1036">
        <f>AE26*'F&amp;ARatesCalc'!J25</f>
        <v>0</v>
      </c>
    </row>
    <row r="27" spans="1:32" ht="7.5" customHeight="1" thickBot="1" x14ac:dyDescent="0.3">
      <c r="A27" s="1037"/>
      <c r="B27" s="1038"/>
      <c r="C27" s="1039"/>
      <c r="D27" s="1039"/>
      <c r="E27" s="1039"/>
      <c r="F27" s="1038"/>
      <c r="G27" s="1040"/>
      <c r="H27" s="1040"/>
      <c r="I27" s="1041"/>
      <c r="J27" s="1041"/>
      <c r="K27" s="267"/>
      <c r="L27" s="1037"/>
      <c r="M27" s="1038"/>
      <c r="N27" s="1039"/>
      <c r="O27" s="1039"/>
      <c r="P27" s="1039"/>
      <c r="Q27" s="1038"/>
      <c r="R27" s="1040"/>
      <c r="S27" s="1040"/>
      <c r="T27" s="1041"/>
      <c r="U27" s="1041"/>
      <c r="V27" s="267"/>
      <c r="W27" s="1037"/>
      <c r="X27" s="1038"/>
      <c r="Y27" s="1039"/>
      <c r="Z27" s="1039"/>
      <c r="AA27" s="1039"/>
      <c r="AB27" s="1038"/>
      <c r="AC27" s="1040"/>
      <c r="AD27" s="1040"/>
      <c r="AE27" s="1041"/>
      <c r="AF27" s="1041"/>
    </row>
    <row r="28" spans="1:32" ht="12" customHeight="1" x14ac:dyDescent="0.25">
      <c r="A28" s="1225">
        <v>1</v>
      </c>
      <c r="B28" s="1228" t="s">
        <v>702</v>
      </c>
      <c r="C28" s="1232">
        <v>1</v>
      </c>
      <c r="D28" s="1232">
        <v>1</v>
      </c>
      <c r="E28" s="1232">
        <v>1</v>
      </c>
      <c r="F28" s="1228" t="s">
        <v>700</v>
      </c>
      <c r="G28" s="1024" t="s">
        <v>457</v>
      </c>
      <c r="H28" s="1042">
        <v>0</v>
      </c>
      <c r="I28" s="1026">
        <f>C28*H28</f>
        <v>0</v>
      </c>
      <c r="J28" s="1027"/>
      <c r="K28" s="267"/>
      <c r="L28" s="1225">
        <f t="shared" ref="L28:Q28" si="4">A28</f>
        <v>1</v>
      </c>
      <c r="M28" s="1228" t="str">
        <f t="shared" si="4"/>
        <v>purpose of trip?</v>
      </c>
      <c r="N28" s="1232">
        <f t="shared" si="4"/>
        <v>1</v>
      </c>
      <c r="O28" s="1232">
        <f t="shared" si="4"/>
        <v>1</v>
      </c>
      <c r="P28" s="1232">
        <f t="shared" si="4"/>
        <v>1</v>
      </c>
      <c r="Q28" s="1228" t="str">
        <f t="shared" si="4"/>
        <v>where traveling to?</v>
      </c>
      <c r="R28" s="1024" t="s">
        <v>457</v>
      </c>
      <c r="S28" s="1042">
        <f>H28</f>
        <v>0</v>
      </c>
      <c r="T28" s="1026">
        <f>N28*S28</f>
        <v>0</v>
      </c>
      <c r="U28" s="1027"/>
      <c r="V28" s="267"/>
      <c r="W28" s="1225">
        <f t="shared" ref="W28:AB28" si="5">L28</f>
        <v>1</v>
      </c>
      <c r="X28" s="1228" t="str">
        <f t="shared" si="5"/>
        <v>purpose of trip?</v>
      </c>
      <c r="Y28" s="1232">
        <f t="shared" si="5"/>
        <v>1</v>
      </c>
      <c r="Z28" s="1232">
        <f t="shared" si="5"/>
        <v>1</v>
      </c>
      <c r="AA28" s="1232">
        <f t="shared" si="5"/>
        <v>1</v>
      </c>
      <c r="AB28" s="1228" t="str">
        <f t="shared" si="5"/>
        <v>where traveling to?</v>
      </c>
      <c r="AC28" s="1024" t="s">
        <v>457</v>
      </c>
      <c r="AD28" s="1042">
        <f>S28</f>
        <v>0</v>
      </c>
      <c r="AE28" s="1026">
        <f>Y28*AD28</f>
        <v>0</v>
      </c>
      <c r="AF28" s="1027"/>
    </row>
    <row r="29" spans="1:32" ht="12" customHeight="1" x14ac:dyDescent="0.25">
      <c r="A29" s="1226"/>
      <c r="B29" s="1229"/>
      <c r="C29" s="1233"/>
      <c r="D29" s="1234"/>
      <c r="E29" s="1234"/>
      <c r="F29" s="1229"/>
      <c r="G29" s="1028" t="s">
        <v>467</v>
      </c>
      <c r="H29" s="1043">
        <v>0</v>
      </c>
      <c r="I29" s="1030">
        <f>C28*H29</f>
        <v>0</v>
      </c>
      <c r="J29" s="1031"/>
      <c r="K29" s="267"/>
      <c r="L29" s="1226"/>
      <c r="M29" s="1229"/>
      <c r="N29" s="1233"/>
      <c r="O29" s="1234"/>
      <c r="P29" s="1234"/>
      <c r="Q29" s="1229"/>
      <c r="R29" s="1028" t="s">
        <v>467</v>
      </c>
      <c r="S29" s="1043">
        <f>H29</f>
        <v>0</v>
      </c>
      <c r="T29" s="1030">
        <f>N28*S29</f>
        <v>0</v>
      </c>
      <c r="U29" s="1031"/>
      <c r="V29" s="267"/>
      <c r="W29" s="1226"/>
      <c r="X29" s="1229"/>
      <c r="Y29" s="1233"/>
      <c r="Z29" s="1234"/>
      <c r="AA29" s="1234"/>
      <c r="AB29" s="1229"/>
      <c r="AC29" s="1028" t="s">
        <v>467</v>
      </c>
      <c r="AD29" s="1043">
        <f>S29</f>
        <v>0</v>
      </c>
      <c r="AE29" s="1030">
        <f>Y28*AD29</f>
        <v>0</v>
      </c>
      <c r="AF29" s="1031"/>
    </row>
    <row r="30" spans="1:32" ht="12" customHeight="1" x14ac:dyDescent="0.25">
      <c r="A30" s="1226"/>
      <c r="B30" s="1230"/>
      <c r="C30" s="1044" t="s">
        <v>465</v>
      </c>
      <c r="D30" s="1235"/>
      <c r="E30" s="1234"/>
      <c r="F30" s="1229"/>
      <c r="G30" s="1028" t="s">
        <v>458</v>
      </c>
      <c r="H30" s="1043">
        <v>0</v>
      </c>
      <c r="I30" s="1030">
        <f>C28*E28*H30</f>
        <v>0</v>
      </c>
      <c r="J30" s="1031"/>
      <c r="K30" s="267"/>
      <c r="L30" s="1226"/>
      <c r="M30" s="1230"/>
      <c r="N30" s="1044" t="s">
        <v>465</v>
      </c>
      <c r="O30" s="1235"/>
      <c r="P30" s="1234"/>
      <c r="Q30" s="1229"/>
      <c r="R30" s="1028" t="s">
        <v>458</v>
      </c>
      <c r="S30" s="1043">
        <f>H30</f>
        <v>0</v>
      </c>
      <c r="T30" s="1030">
        <f>N28*P28*S30</f>
        <v>0</v>
      </c>
      <c r="U30" s="1031"/>
      <c r="V30" s="267"/>
      <c r="W30" s="1226"/>
      <c r="X30" s="1230"/>
      <c r="Y30" s="1044" t="s">
        <v>465</v>
      </c>
      <c r="Z30" s="1235"/>
      <c r="AA30" s="1234"/>
      <c r="AB30" s="1229"/>
      <c r="AC30" s="1028" t="s">
        <v>458</v>
      </c>
      <c r="AD30" s="1043">
        <f>S30</f>
        <v>0</v>
      </c>
      <c r="AE30" s="1030">
        <f>Y28*AA28*AD30</f>
        <v>0</v>
      </c>
      <c r="AF30" s="1031"/>
    </row>
    <row r="31" spans="1:32" ht="12" customHeight="1" x14ac:dyDescent="0.25">
      <c r="A31" s="1226"/>
      <c r="B31" s="1230"/>
      <c r="C31" s="1045"/>
      <c r="D31" s="1235"/>
      <c r="E31" s="1234"/>
      <c r="F31" s="1229"/>
      <c r="G31" s="1028" t="s">
        <v>549</v>
      </c>
      <c r="H31" s="1043">
        <v>0</v>
      </c>
      <c r="I31" s="1030">
        <f>H31*C28</f>
        <v>0</v>
      </c>
      <c r="J31" s="1031"/>
      <c r="K31" s="267"/>
      <c r="L31" s="1226"/>
      <c r="M31" s="1230"/>
      <c r="N31" s="1045"/>
      <c r="O31" s="1235"/>
      <c r="P31" s="1234"/>
      <c r="Q31" s="1229"/>
      <c r="R31" s="1028" t="s">
        <v>549</v>
      </c>
      <c r="S31" s="1043">
        <f>H31</f>
        <v>0</v>
      </c>
      <c r="T31" s="1030">
        <f>S31*N28</f>
        <v>0</v>
      </c>
      <c r="U31" s="1031"/>
      <c r="V31" s="267"/>
      <c r="W31" s="1226"/>
      <c r="X31" s="1230"/>
      <c r="Y31" s="1045"/>
      <c r="Z31" s="1235"/>
      <c r="AA31" s="1234"/>
      <c r="AB31" s="1229"/>
      <c r="AC31" s="1028" t="s">
        <v>549</v>
      </c>
      <c r="AD31" s="1043">
        <f>S31</f>
        <v>0</v>
      </c>
      <c r="AE31" s="1030">
        <f>AD31*Y28</f>
        <v>0</v>
      </c>
      <c r="AF31" s="1031"/>
    </row>
    <row r="32" spans="1:32" ht="12" customHeight="1" x14ac:dyDescent="0.25">
      <c r="A32" s="1226"/>
      <c r="B32" s="1230"/>
      <c r="C32" s="1229" t="s">
        <v>701</v>
      </c>
      <c r="D32" s="1235"/>
      <c r="E32" s="1234"/>
      <c r="F32" s="1229"/>
      <c r="G32" s="1028" t="s">
        <v>460</v>
      </c>
      <c r="H32" s="1043">
        <v>0</v>
      </c>
      <c r="I32" s="1030">
        <f>C28*(D28-2)*H32</f>
        <v>0</v>
      </c>
      <c r="J32" s="1031"/>
      <c r="K32" s="267"/>
      <c r="L32" s="1226"/>
      <c r="M32" s="1230"/>
      <c r="N32" s="1229" t="str">
        <f>C32</f>
        <v>names of travelers?</v>
      </c>
      <c r="O32" s="1235"/>
      <c r="P32" s="1234"/>
      <c r="Q32" s="1229"/>
      <c r="R32" s="1028" t="s">
        <v>460</v>
      </c>
      <c r="S32" s="1043">
        <f>H32</f>
        <v>0</v>
      </c>
      <c r="T32" s="1030">
        <f>N28*(O28-2)*S32</f>
        <v>0</v>
      </c>
      <c r="U32" s="1031"/>
      <c r="V32" s="267"/>
      <c r="W32" s="1226"/>
      <c r="X32" s="1230"/>
      <c r="Y32" s="1229" t="str">
        <f>N32</f>
        <v>names of travelers?</v>
      </c>
      <c r="Z32" s="1235"/>
      <c r="AA32" s="1234"/>
      <c r="AB32" s="1229"/>
      <c r="AC32" s="1028" t="s">
        <v>460</v>
      </c>
      <c r="AD32" s="1043">
        <f>S32</f>
        <v>0</v>
      </c>
      <c r="AE32" s="1030">
        <f>Y28*(Z28-2)*AD32</f>
        <v>0</v>
      </c>
      <c r="AF32" s="1031"/>
    </row>
    <row r="33" spans="1:32" ht="12" customHeight="1" thickBot="1" x14ac:dyDescent="0.3">
      <c r="A33" s="1226"/>
      <c r="B33" s="1230"/>
      <c r="C33" s="1229"/>
      <c r="D33" s="1235"/>
      <c r="E33" s="1234"/>
      <c r="F33" s="1229"/>
      <c r="G33" s="1034" t="s">
        <v>459</v>
      </c>
      <c r="H33" s="1030">
        <f>H32*0.75</f>
        <v>0</v>
      </c>
      <c r="I33" s="1030">
        <f>C28*2*H33</f>
        <v>0</v>
      </c>
      <c r="J33" s="1031"/>
      <c r="K33" s="267"/>
      <c r="L33" s="1226"/>
      <c r="M33" s="1230"/>
      <c r="N33" s="1229"/>
      <c r="O33" s="1235"/>
      <c r="P33" s="1234"/>
      <c r="Q33" s="1229"/>
      <c r="R33" s="1034" t="s">
        <v>459</v>
      </c>
      <c r="S33" s="1030">
        <f>S32*0.75</f>
        <v>0</v>
      </c>
      <c r="T33" s="1030">
        <f>N28*2*S33</f>
        <v>0</v>
      </c>
      <c r="U33" s="1031"/>
      <c r="V33" s="267"/>
      <c r="W33" s="1226"/>
      <c r="X33" s="1230"/>
      <c r="Y33" s="1229"/>
      <c r="Z33" s="1235"/>
      <c r="AA33" s="1234"/>
      <c r="AB33" s="1229"/>
      <c r="AC33" s="1034" t="s">
        <v>459</v>
      </c>
      <c r="AD33" s="1030">
        <f>AD32*0.75</f>
        <v>0</v>
      </c>
      <c r="AE33" s="1030">
        <f>Y28*2*AD33</f>
        <v>0</v>
      </c>
      <c r="AF33" s="1031"/>
    </row>
    <row r="34" spans="1:32" ht="12" customHeight="1" thickBot="1" x14ac:dyDescent="0.3">
      <c r="A34" s="1227"/>
      <c r="B34" s="1231"/>
      <c r="C34" s="1238"/>
      <c r="D34" s="1236"/>
      <c r="E34" s="1237"/>
      <c r="F34" s="1238"/>
      <c r="G34" s="1239" t="s">
        <v>539</v>
      </c>
      <c r="H34" s="1240"/>
      <c r="I34" s="1035">
        <f>SUM(I28:I33)*A28</f>
        <v>0</v>
      </c>
      <c r="J34" s="1036">
        <f>I34*'F&amp;ARatesCalc'!J13</f>
        <v>0</v>
      </c>
      <c r="K34" s="267"/>
      <c r="L34" s="1227"/>
      <c r="M34" s="1231"/>
      <c r="N34" s="1238"/>
      <c r="O34" s="1236"/>
      <c r="P34" s="1237"/>
      <c r="Q34" s="1238"/>
      <c r="R34" s="1239" t="s">
        <v>539</v>
      </c>
      <c r="S34" s="1240"/>
      <c r="T34" s="1035">
        <f>SUM(T28:T33)*L28</f>
        <v>0</v>
      </c>
      <c r="U34" s="1036">
        <f>T34*'F&amp;ARatesCalc'!J19</f>
        <v>0</v>
      </c>
      <c r="V34" s="267"/>
      <c r="W34" s="1227"/>
      <c r="X34" s="1231"/>
      <c r="Y34" s="1238"/>
      <c r="Z34" s="1236"/>
      <c r="AA34" s="1237"/>
      <c r="AB34" s="1238"/>
      <c r="AC34" s="1239" t="s">
        <v>539</v>
      </c>
      <c r="AD34" s="1240"/>
      <c r="AE34" s="1035">
        <f>SUM(AE28:AE33)*W28</f>
        <v>0</v>
      </c>
      <c r="AF34" s="1036">
        <f>AE34*'F&amp;ARatesCalc'!J25</f>
        <v>0</v>
      </c>
    </row>
    <row r="35" spans="1:32" s="406" customFormat="1" ht="7.5" customHeight="1" thickBot="1" x14ac:dyDescent="0.3">
      <c r="A35" s="1037"/>
      <c r="B35" s="1038"/>
      <c r="C35" s="1039"/>
      <c r="D35" s="1039"/>
      <c r="E35" s="1039"/>
      <c r="F35" s="1038"/>
      <c r="G35" s="1040"/>
      <c r="H35" s="1040"/>
      <c r="I35" s="1041"/>
      <c r="J35" s="1041"/>
      <c r="K35" s="742"/>
      <c r="L35" s="1037"/>
      <c r="M35" s="1038"/>
      <c r="N35" s="1039"/>
      <c r="O35" s="1039"/>
      <c r="P35" s="1039"/>
      <c r="Q35" s="1038"/>
      <c r="R35" s="1040"/>
      <c r="S35" s="1040"/>
      <c r="T35" s="1041"/>
      <c r="U35" s="1041"/>
      <c r="V35" s="742"/>
      <c r="W35" s="1037"/>
      <c r="X35" s="1038"/>
      <c r="Y35" s="1039"/>
      <c r="Z35" s="1039"/>
      <c r="AA35" s="1039"/>
      <c r="AB35" s="1038"/>
      <c r="AC35" s="1040"/>
      <c r="AD35" s="1040"/>
      <c r="AE35" s="1041"/>
      <c r="AF35" s="1041"/>
    </row>
    <row r="36" spans="1:32" s="406" customFormat="1" ht="15" customHeight="1" thickBot="1" x14ac:dyDescent="0.3">
      <c r="A36" s="1037"/>
      <c r="B36" s="1038"/>
      <c r="C36" s="1039"/>
      <c r="D36" s="1039"/>
      <c r="E36" s="1039"/>
      <c r="F36" s="1038"/>
      <c r="G36" s="1040"/>
      <c r="H36" s="1046" t="s">
        <v>470</v>
      </c>
      <c r="I36" s="1047">
        <f>I18+I26+I34</f>
        <v>0</v>
      </c>
      <c r="J36" s="1047">
        <f>J18+J26+J34</f>
        <v>0</v>
      </c>
      <c r="K36" s="742"/>
      <c r="L36" s="1037"/>
      <c r="M36" s="1038"/>
      <c r="N36" s="1039"/>
      <c r="O36" s="1039"/>
      <c r="P36" s="1039"/>
      <c r="Q36" s="1038"/>
      <c r="R36" s="1040"/>
      <c r="S36" s="1046" t="s">
        <v>470</v>
      </c>
      <c r="T36" s="1047">
        <f>T18+T26+T34</f>
        <v>0</v>
      </c>
      <c r="U36" s="1047">
        <f>U18+U26+U34</f>
        <v>0</v>
      </c>
      <c r="V36" s="742"/>
      <c r="W36" s="1037"/>
      <c r="X36" s="1038"/>
      <c r="Y36" s="1039"/>
      <c r="Z36" s="1039"/>
      <c r="AA36" s="1039"/>
      <c r="AB36" s="1038"/>
      <c r="AC36" s="1040"/>
      <c r="AD36" s="1046" t="s">
        <v>470</v>
      </c>
      <c r="AE36" s="1047">
        <f>AE18+AE26+AE34</f>
        <v>0</v>
      </c>
      <c r="AF36" s="1047">
        <f>AF18+AF26+AF34</f>
        <v>0</v>
      </c>
    </row>
    <row r="37" spans="1:32" ht="7.5" customHeight="1" x14ac:dyDescent="0.25">
      <c r="A37" s="1037"/>
      <c r="B37" s="1038"/>
      <c r="C37" s="1039"/>
      <c r="D37" s="1039"/>
      <c r="E37" s="1039"/>
      <c r="F37" s="1038"/>
      <c r="G37" s="1040"/>
      <c r="H37" s="1040"/>
      <c r="I37" s="1041"/>
      <c r="J37" s="1041"/>
      <c r="K37" s="267"/>
      <c r="L37" s="1037"/>
      <c r="M37" s="1038"/>
      <c r="N37" s="1039"/>
      <c r="O37" s="1039"/>
      <c r="P37" s="1039"/>
      <c r="Q37" s="1038"/>
      <c r="R37" s="1040"/>
      <c r="S37" s="1040"/>
      <c r="T37" s="1041"/>
      <c r="U37" s="1041"/>
      <c r="V37" s="267"/>
      <c r="W37" s="1037"/>
      <c r="X37" s="1038"/>
      <c r="Y37" s="1039"/>
      <c r="Z37" s="1039"/>
      <c r="AA37" s="1039"/>
      <c r="AB37" s="1038"/>
      <c r="AC37" s="1040"/>
      <c r="AD37" s="1040"/>
      <c r="AE37" s="1041"/>
      <c r="AF37" s="1041"/>
    </row>
    <row r="38" spans="1:32" ht="15.75" thickBot="1" x14ac:dyDescent="0.3">
      <c r="A38" s="1019" t="s">
        <v>211</v>
      </c>
      <c r="B38" s="1020"/>
      <c r="C38" s="1020"/>
      <c r="D38" s="1020"/>
      <c r="E38" s="1020"/>
      <c r="F38" s="1020"/>
      <c r="G38" s="1020"/>
      <c r="H38" s="1020"/>
      <c r="I38" s="1020"/>
      <c r="J38" s="410"/>
      <c r="L38" s="1019" t="s">
        <v>211</v>
      </c>
      <c r="M38" s="1020"/>
      <c r="N38" s="1020"/>
      <c r="O38" s="1020"/>
      <c r="P38" s="1020"/>
      <c r="Q38" s="1020"/>
      <c r="R38" s="1020"/>
      <c r="S38" s="1020"/>
      <c r="T38" s="1020"/>
      <c r="U38" s="410"/>
      <c r="W38" s="1019" t="s">
        <v>211</v>
      </c>
      <c r="X38" s="1020"/>
      <c r="Y38" s="1020"/>
      <c r="Z38" s="1020"/>
      <c r="AA38" s="1020"/>
      <c r="AB38" s="1020"/>
      <c r="AC38" s="1020"/>
      <c r="AD38" s="1020"/>
      <c r="AE38" s="1020"/>
      <c r="AF38" s="410"/>
    </row>
    <row r="39" spans="1:32" ht="27" thickBot="1" x14ac:dyDescent="0.3">
      <c r="A39" s="1021" t="s">
        <v>463</v>
      </c>
      <c r="B39" s="1021" t="s">
        <v>530</v>
      </c>
      <c r="C39" s="1021" t="s">
        <v>464</v>
      </c>
      <c r="D39" s="1021" t="s">
        <v>540</v>
      </c>
      <c r="E39" s="1021" t="s">
        <v>541</v>
      </c>
      <c r="F39" s="1021" t="s">
        <v>461</v>
      </c>
      <c r="G39" s="1022" t="s">
        <v>466</v>
      </c>
      <c r="H39" s="1021" t="s">
        <v>456</v>
      </c>
      <c r="I39" s="1021" t="s">
        <v>725</v>
      </c>
      <c r="J39" s="1048" t="s">
        <v>567</v>
      </c>
      <c r="K39" s="267"/>
      <c r="L39" s="1021" t="s">
        <v>463</v>
      </c>
      <c r="M39" s="1021" t="s">
        <v>530</v>
      </c>
      <c r="N39" s="1021" t="s">
        <v>464</v>
      </c>
      <c r="O39" s="1021" t="s">
        <v>540</v>
      </c>
      <c r="P39" s="1021" t="s">
        <v>541</v>
      </c>
      <c r="Q39" s="1021" t="s">
        <v>461</v>
      </c>
      <c r="R39" s="1022" t="s">
        <v>466</v>
      </c>
      <c r="S39" s="1021" t="s">
        <v>456</v>
      </c>
      <c r="T39" s="1021" t="s">
        <v>724</v>
      </c>
      <c r="U39" s="1048" t="s">
        <v>567</v>
      </c>
      <c r="V39" s="267"/>
      <c r="W39" s="1021" t="s">
        <v>463</v>
      </c>
      <c r="X39" s="1021" t="s">
        <v>530</v>
      </c>
      <c r="Y39" s="1021" t="s">
        <v>464</v>
      </c>
      <c r="Z39" s="1021" t="s">
        <v>540</v>
      </c>
      <c r="AA39" s="1021" t="s">
        <v>541</v>
      </c>
      <c r="AB39" s="1021" t="s">
        <v>461</v>
      </c>
      <c r="AC39" s="1022" t="s">
        <v>466</v>
      </c>
      <c r="AD39" s="1021" t="s">
        <v>456</v>
      </c>
      <c r="AE39" s="1021" t="s">
        <v>723</v>
      </c>
      <c r="AF39" s="1048" t="s">
        <v>567</v>
      </c>
    </row>
    <row r="40" spans="1:32" ht="12" customHeight="1" x14ac:dyDescent="0.25">
      <c r="A40" s="1225">
        <v>1</v>
      </c>
      <c r="B40" s="1228" t="s">
        <v>702</v>
      </c>
      <c r="C40" s="1232">
        <v>1</v>
      </c>
      <c r="D40" s="1232">
        <v>1</v>
      </c>
      <c r="E40" s="1232">
        <v>1</v>
      </c>
      <c r="F40" s="1228" t="s">
        <v>700</v>
      </c>
      <c r="G40" s="1024" t="s">
        <v>457</v>
      </c>
      <c r="H40" s="1042">
        <v>0</v>
      </c>
      <c r="I40" s="1026">
        <f>C40*H40</f>
        <v>0</v>
      </c>
      <c r="J40" s="1027"/>
      <c r="K40" s="267"/>
      <c r="L40" s="1225">
        <f t="shared" ref="L40:Q40" si="6">A40</f>
        <v>1</v>
      </c>
      <c r="M40" s="1228" t="str">
        <f t="shared" si="6"/>
        <v>purpose of trip?</v>
      </c>
      <c r="N40" s="1232">
        <f t="shared" si="6"/>
        <v>1</v>
      </c>
      <c r="O40" s="1232">
        <f t="shared" si="6"/>
        <v>1</v>
      </c>
      <c r="P40" s="1232">
        <f t="shared" si="6"/>
        <v>1</v>
      </c>
      <c r="Q40" s="1228" t="str">
        <f t="shared" si="6"/>
        <v>where traveling to?</v>
      </c>
      <c r="R40" s="1024" t="s">
        <v>457</v>
      </c>
      <c r="S40" s="1042">
        <f>H40</f>
        <v>0</v>
      </c>
      <c r="T40" s="1026">
        <f>N40*S40</f>
        <v>0</v>
      </c>
      <c r="U40" s="1027"/>
      <c r="V40" s="267"/>
      <c r="W40" s="1225">
        <f t="shared" ref="W40:AB40" si="7">L40</f>
        <v>1</v>
      </c>
      <c r="X40" s="1228" t="str">
        <f t="shared" si="7"/>
        <v>purpose of trip?</v>
      </c>
      <c r="Y40" s="1232">
        <f t="shared" si="7"/>
        <v>1</v>
      </c>
      <c r="Z40" s="1232">
        <f t="shared" si="7"/>
        <v>1</v>
      </c>
      <c r="AA40" s="1232">
        <f t="shared" si="7"/>
        <v>1</v>
      </c>
      <c r="AB40" s="1228" t="str">
        <f t="shared" si="7"/>
        <v>where traveling to?</v>
      </c>
      <c r="AC40" s="1024" t="s">
        <v>457</v>
      </c>
      <c r="AD40" s="1042">
        <f>S40</f>
        <v>0</v>
      </c>
      <c r="AE40" s="1026">
        <f>Y40*AD40</f>
        <v>0</v>
      </c>
      <c r="AF40" s="1027"/>
    </row>
    <row r="41" spans="1:32" ht="12" customHeight="1" x14ac:dyDescent="0.25">
      <c r="A41" s="1226"/>
      <c r="B41" s="1229"/>
      <c r="C41" s="1233"/>
      <c r="D41" s="1234"/>
      <c r="E41" s="1234"/>
      <c r="F41" s="1229"/>
      <c r="G41" s="1028" t="s">
        <v>467</v>
      </c>
      <c r="H41" s="1043">
        <v>0</v>
      </c>
      <c r="I41" s="1030">
        <f>C40*H41</f>
        <v>0</v>
      </c>
      <c r="J41" s="1031"/>
      <c r="K41" s="267"/>
      <c r="L41" s="1226"/>
      <c r="M41" s="1229"/>
      <c r="N41" s="1233"/>
      <c r="O41" s="1234"/>
      <c r="P41" s="1234"/>
      <c r="Q41" s="1229"/>
      <c r="R41" s="1028" t="s">
        <v>467</v>
      </c>
      <c r="S41" s="1043">
        <f>H41</f>
        <v>0</v>
      </c>
      <c r="T41" s="1030">
        <f>N40*S41</f>
        <v>0</v>
      </c>
      <c r="U41" s="1031"/>
      <c r="V41" s="267"/>
      <c r="W41" s="1226"/>
      <c r="X41" s="1229"/>
      <c r="Y41" s="1233"/>
      <c r="Z41" s="1234"/>
      <c r="AA41" s="1234"/>
      <c r="AB41" s="1229"/>
      <c r="AC41" s="1028" t="s">
        <v>467</v>
      </c>
      <c r="AD41" s="1043">
        <f>S41</f>
        <v>0</v>
      </c>
      <c r="AE41" s="1030">
        <f>Y40*AD41</f>
        <v>0</v>
      </c>
      <c r="AF41" s="1031"/>
    </row>
    <row r="42" spans="1:32" ht="12" customHeight="1" x14ac:dyDescent="0.25">
      <c r="A42" s="1226"/>
      <c r="B42" s="1230"/>
      <c r="C42" s="1044" t="s">
        <v>465</v>
      </c>
      <c r="D42" s="1235"/>
      <c r="E42" s="1234"/>
      <c r="F42" s="1229"/>
      <c r="G42" s="1028" t="s">
        <v>458</v>
      </c>
      <c r="H42" s="1043">
        <v>0</v>
      </c>
      <c r="I42" s="1030">
        <f>C40*E40*H42</f>
        <v>0</v>
      </c>
      <c r="J42" s="1031"/>
      <c r="K42" s="267"/>
      <c r="L42" s="1226"/>
      <c r="M42" s="1230"/>
      <c r="N42" s="1044" t="s">
        <v>465</v>
      </c>
      <c r="O42" s="1235"/>
      <c r="P42" s="1234"/>
      <c r="Q42" s="1229"/>
      <c r="R42" s="1028" t="s">
        <v>458</v>
      </c>
      <c r="S42" s="1043">
        <f>H42</f>
        <v>0</v>
      </c>
      <c r="T42" s="1030">
        <f>N40*P40*S42</f>
        <v>0</v>
      </c>
      <c r="U42" s="1031"/>
      <c r="V42" s="267"/>
      <c r="W42" s="1226"/>
      <c r="X42" s="1230"/>
      <c r="Y42" s="1044" t="s">
        <v>465</v>
      </c>
      <c r="Z42" s="1235"/>
      <c r="AA42" s="1234"/>
      <c r="AB42" s="1229"/>
      <c r="AC42" s="1028" t="s">
        <v>458</v>
      </c>
      <c r="AD42" s="1043">
        <f>S42</f>
        <v>0</v>
      </c>
      <c r="AE42" s="1030">
        <f>Y40*AA40*AD42</f>
        <v>0</v>
      </c>
      <c r="AF42" s="1031"/>
    </row>
    <row r="43" spans="1:32" ht="12" customHeight="1" x14ac:dyDescent="0.25">
      <c r="A43" s="1226"/>
      <c r="B43" s="1230"/>
      <c r="C43" s="1045"/>
      <c r="D43" s="1235"/>
      <c r="E43" s="1234"/>
      <c r="F43" s="1229"/>
      <c r="G43" s="1028" t="s">
        <v>549</v>
      </c>
      <c r="H43" s="1043">
        <v>0</v>
      </c>
      <c r="I43" s="1030">
        <f>H43*C40</f>
        <v>0</v>
      </c>
      <c r="J43" s="1031"/>
      <c r="K43" s="267"/>
      <c r="L43" s="1226"/>
      <c r="M43" s="1230"/>
      <c r="N43" s="1045"/>
      <c r="O43" s="1235"/>
      <c r="P43" s="1234"/>
      <c r="Q43" s="1229"/>
      <c r="R43" s="1028" t="s">
        <v>549</v>
      </c>
      <c r="S43" s="1043">
        <f>H43</f>
        <v>0</v>
      </c>
      <c r="T43" s="1030">
        <f>S43*N40</f>
        <v>0</v>
      </c>
      <c r="U43" s="1031"/>
      <c r="V43" s="267"/>
      <c r="W43" s="1226"/>
      <c r="X43" s="1230"/>
      <c r="Y43" s="1045"/>
      <c r="Z43" s="1235"/>
      <c r="AA43" s="1234"/>
      <c r="AB43" s="1229"/>
      <c r="AC43" s="1028" t="s">
        <v>549</v>
      </c>
      <c r="AD43" s="1043">
        <f>S43</f>
        <v>0</v>
      </c>
      <c r="AE43" s="1030">
        <f>AD43*Y40</f>
        <v>0</v>
      </c>
      <c r="AF43" s="1031"/>
    </row>
    <row r="44" spans="1:32" ht="12" customHeight="1" x14ac:dyDescent="0.25">
      <c r="A44" s="1226"/>
      <c r="B44" s="1230"/>
      <c r="C44" s="1229" t="s">
        <v>701</v>
      </c>
      <c r="D44" s="1235"/>
      <c r="E44" s="1234"/>
      <c r="F44" s="1229"/>
      <c r="G44" s="1028" t="s">
        <v>460</v>
      </c>
      <c r="H44" s="1043">
        <v>0</v>
      </c>
      <c r="I44" s="1030">
        <f>C40*(D40-2)*H44</f>
        <v>0</v>
      </c>
      <c r="J44" s="1031"/>
      <c r="K44" s="267"/>
      <c r="L44" s="1226"/>
      <c r="M44" s="1230"/>
      <c r="N44" s="1229" t="str">
        <f>C44</f>
        <v>names of travelers?</v>
      </c>
      <c r="O44" s="1235"/>
      <c r="P44" s="1234"/>
      <c r="Q44" s="1229"/>
      <c r="R44" s="1028" t="s">
        <v>460</v>
      </c>
      <c r="S44" s="1043">
        <f>H44</f>
        <v>0</v>
      </c>
      <c r="T44" s="1030">
        <f>N40*(O40-2)*S44</f>
        <v>0</v>
      </c>
      <c r="U44" s="1031"/>
      <c r="V44" s="267"/>
      <c r="W44" s="1226"/>
      <c r="X44" s="1230"/>
      <c r="Y44" s="1229" t="str">
        <f>N44</f>
        <v>names of travelers?</v>
      </c>
      <c r="Z44" s="1235"/>
      <c r="AA44" s="1234"/>
      <c r="AB44" s="1229"/>
      <c r="AC44" s="1028" t="s">
        <v>460</v>
      </c>
      <c r="AD44" s="1043">
        <f>S44</f>
        <v>0</v>
      </c>
      <c r="AE44" s="1030">
        <f>Y40*(Z40-2)*AD44</f>
        <v>0</v>
      </c>
      <c r="AF44" s="1031"/>
    </row>
    <row r="45" spans="1:32" ht="12" customHeight="1" thickBot="1" x14ac:dyDescent="0.3">
      <c r="A45" s="1226"/>
      <c r="B45" s="1230"/>
      <c r="C45" s="1229"/>
      <c r="D45" s="1235"/>
      <c r="E45" s="1234"/>
      <c r="F45" s="1229"/>
      <c r="G45" s="1034" t="s">
        <v>459</v>
      </c>
      <c r="H45" s="1030">
        <f>H44*0.75</f>
        <v>0</v>
      </c>
      <c r="I45" s="1030">
        <f>C40*2*H45</f>
        <v>0</v>
      </c>
      <c r="J45" s="1031"/>
      <c r="K45" s="267"/>
      <c r="L45" s="1226"/>
      <c r="M45" s="1230"/>
      <c r="N45" s="1229"/>
      <c r="O45" s="1235"/>
      <c r="P45" s="1234"/>
      <c r="Q45" s="1229"/>
      <c r="R45" s="1034" t="s">
        <v>459</v>
      </c>
      <c r="S45" s="1030">
        <f>S44*0.75</f>
        <v>0</v>
      </c>
      <c r="T45" s="1030">
        <f>N40*2*S45</f>
        <v>0</v>
      </c>
      <c r="U45" s="1031"/>
      <c r="V45" s="267"/>
      <c r="W45" s="1226"/>
      <c r="X45" s="1230"/>
      <c r="Y45" s="1229"/>
      <c r="Z45" s="1235"/>
      <c r="AA45" s="1234"/>
      <c r="AB45" s="1229"/>
      <c r="AC45" s="1034" t="s">
        <v>459</v>
      </c>
      <c r="AD45" s="1030">
        <f>AD44*0.75</f>
        <v>0</v>
      </c>
      <c r="AE45" s="1030">
        <f>Y40*2*AD45</f>
        <v>0</v>
      </c>
      <c r="AF45" s="1031"/>
    </row>
    <row r="46" spans="1:32" ht="12" customHeight="1" thickBot="1" x14ac:dyDescent="0.3">
      <c r="A46" s="1227"/>
      <c r="B46" s="1231"/>
      <c r="C46" s="1238"/>
      <c r="D46" s="1236"/>
      <c r="E46" s="1237"/>
      <c r="F46" s="1238"/>
      <c r="G46" s="1239" t="s">
        <v>539</v>
      </c>
      <c r="H46" s="1240"/>
      <c r="I46" s="1035">
        <f>SUM(I40:I45)*A40</f>
        <v>0</v>
      </c>
      <c r="J46" s="1036">
        <f>I46*'F&amp;ARatesCalc'!J13</f>
        <v>0</v>
      </c>
      <c r="K46" s="267"/>
      <c r="L46" s="1227"/>
      <c r="M46" s="1231"/>
      <c r="N46" s="1238"/>
      <c r="O46" s="1236"/>
      <c r="P46" s="1237"/>
      <c r="Q46" s="1238"/>
      <c r="R46" s="1239" t="s">
        <v>539</v>
      </c>
      <c r="S46" s="1240"/>
      <c r="T46" s="1035">
        <f>SUM(T40:T45)*L40</f>
        <v>0</v>
      </c>
      <c r="U46" s="1036">
        <f>T46*'F&amp;ARatesCalc'!J19</f>
        <v>0</v>
      </c>
      <c r="V46" s="267"/>
      <c r="W46" s="1227"/>
      <c r="X46" s="1231"/>
      <c r="Y46" s="1238"/>
      <c r="Z46" s="1236"/>
      <c r="AA46" s="1237"/>
      <c r="AB46" s="1238"/>
      <c r="AC46" s="1239" t="s">
        <v>539</v>
      </c>
      <c r="AD46" s="1240"/>
      <c r="AE46" s="1035">
        <f>SUM(AE40:AE45)*W40</f>
        <v>0</v>
      </c>
      <c r="AF46" s="1036">
        <f>AE46*'F&amp;ARatesCalc'!J25</f>
        <v>0</v>
      </c>
    </row>
    <row r="47" spans="1:32" ht="7.5" customHeight="1" thickBot="1" x14ac:dyDescent="0.3">
      <c r="A47" s="1037"/>
      <c r="B47" s="1038"/>
      <c r="C47" s="1039"/>
      <c r="D47" s="1039"/>
      <c r="E47" s="1039"/>
      <c r="F47" s="1038"/>
      <c r="G47" s="1040"/>
      <c r="H47" s="1040"/>
      <c r="I47" s="1041"/>
      <c r="J47" s="1041"/>
      <c r="K47" s="267"/>
      <c r="L47" s="1037"/>
      <c r="M47" s="1038"/>
      <c r="N47" s="1039"/>
      <c r="O47" s="1039"/>
      <c r="P47" s="1039"/>
      <c r="Q47" s="1038"/>
      <c r="R47" s="1040"/>
      <c r="S47" s="1040"/>
      <c r="T47" s="1041"/>
      <c r="U47" s="1041"/>
      <c r="V47" s="267"/>
      <c r="W47" s="1037"/>
      <c r="X47" s="1038"/>
      <c r="Y47" s="1039"/>
      <c r="Z47" s="1039"/>
      <c r="AA47" s="1039"/>
      <c r="AB47" s="1038"/>
      <c r="AC47" s="1040"/>
      <c r="AD47" s="1040"/>
      <c r="AE47" s="1041"/>
      <c r="AF47" s="1041"/>
    </row>
    <row r="48" spans="1:32" ht="12" customHeight="1" x14ac:dyDescent="0.25">
      <c r="A48" s="1225">
        <v>1</v>
      </c>
      <c r="B48" s="1228" t="s">
        <v>702</v>
      </c>
      <c r="C48" s="1232">
        <v>1</v>
      </c>
      <c r="D48" s="1232">
        <v>1</v>
      </c>
      <c r="E48" s="1232">
        <v>1</v>
      </c>
      <c r="F48" s="1228" t="s">
        <v>700</v>
      </c>
      <c r="G48" s="1024" t="s">
        <v>457</v>
      </c>
      <c r="H48" s="1042">
        <v>0</v>
      </c>
      <c r="I48" s="1026">
        <f>C48*H48</f>
        <v>0</v>
      </c>
      <c r="J48" s="1027"/>
      <c r="K48" s="267"/>
      <c r="L48" s="1225">
        <f t="shared" ref="L48:Q48" si="8">A48</f>
        <v>1</v>
      </c>
      <c r="M48" s="1228" t="str">
        <f t="shared" si="8"/>
        <v>purpose of trip?</v>
      </c>
      <c r="N48" s="1232">
        <f t="shared" si="8"/>
        <v>1</v>
      </c>
      <c r="O48" s="1232">
        <f t="shared" si="8"/>
        <v>1</v>
      </c>
      <c r="P48" s="1232">
        <f t="shared" si="8"/>
        <v>1</v>
      </c>
      <c r="Q48" s="1228" t="str">
        <f t="shared" si="8"/>
        <v>where traveling to?</v>
      </c>
      <c r="R48" s="1024" t="s">
        <v>457</v>
      </c>
      <c r="S48" s="1042">
        <f>H48</f>
        <v>0</v>
      </c>
      <c r="T48" s="1026">
        <f>N48*S48</f>
        <v>0</v>
      </c>
      <c r="U48" s="1027"/>
      <c r="V48" s="267"/>
      <c r="W48" s="1225">
        <f t="shared" ref="W48:AB48" si="9">L48</f>
        <v>1</v>
      </c>
      <c r="X48" s="1228" t="str">
        <f t="shared" si="9"/>
        <v>purpose of trip?</v>
      </c>
      <c r="Y48" s="1232">
        <f t="shared" si="9"/>
        <v>1</v>
      </c>
      <c r="Z48" s="1232">
        <f t="shared" si="9"/>
        <v>1</v>
      </c>
      <c r="AA48" s="1232">
        <f t="shared" si="9"/>
        <v>1</v>
      </c>
      <c r="AB48" s="1228" t="str">
        <f t="shared" si="9"/>
        <v>where traveling to?</v>
      </c>
      <c r="AC48" s="1024" t="s">
        <v>457</v>
      </c>
      <c r="AD48" s="1042">
        <f>S48</f>
        <v>0</v>
      </c>
      <c r="AE48" s="1026">
        <f>Y48*AD48</f>
        <v>0</v>
      </c>
      <c r="AF48" s="1027"/>
    </row>
    <row r="49" spans="1:32" ht="12" customHeight="1" x14ac:dyDescent="0.25">
      <c r="A49" s="1226"/>
      <c r="B49" s="1229"/>
      <c r="C49" s="1233"/>
      <c r="D49" s="1234"/>
      <c r="E49" s="1234"/>
      <c r="F49" s="1229"/>
      <c r="G49" s="1028" t="s">
        <v>467</v>
      </c>
      <c r="H49" s="1043">
        <v>0</v>
      </c>
      <c r="I49" s="1030">
        <f>C48*H49</f>
        <v>0</v>
      </c>
      <c r="J49" s="1031"/>
      <c r="K49" s="267"/>
      <c r="L49" s="1226"/>
      <c r="M49" s="1229"/>
      <c r="N49" s="1233"/>
      <c r="O49" s="1234"/>
      <c r="P49" s="1234"/>
      <c r="Q49" s="1229"/>
      <c r="R49" s="1028" t="s">
        <v>467</v>
      </c>
      <c r="S49" s="1043">
        <f>H49</f>
        <v>0</v>
      </c>
      <c r="T49" s="1030">
        <f>N48*S49</f>
        <v>0</v>
      </c>
      <c r="U49" s="1031"/>
      <c r="V49" s="267"/>
      <c r="W49" s="1226"/>
      <c r="X49" s="1229"/>
      <c r="Y49" s="1233"/>
      <c r="Z49" s="1234"/>
      <c r="AA49" s="1234"/>
      <c r="AB49" s="1229"/>
      <c r="AC49" s="1028" t="s">
        <v>467</v>
      </c>
      <c r="AD49" s="1043">
        <f>S49</f>
        <v>0</v>
      </c>
      <c r="AE49" s="1030">
        <f>Y48*AD49</f>
        <v>0</v>
      </c>
      <c r="AF49" s="1031"/>
    </row>
    <row r="50" spans="1:32" ht="12" customHeight="1" x14ac:dyDescent="0.25">
      <c r="A50" s="1226"/>
      <c r="B50" s="1230"/>
      <c r="C50" s="1044" t="s">
        <v>465</v>
      </c>
      <c r="D50" s="1235"/>
      <c r="E50" s="1234"/>
      <c r="F50" s="1229"/>
      <c r="G50" s="1028" t="s">
        <v>458</v>
      </c>
      <c r="H50" s="1043">
        <v>0</v>
      </c>
      <c r="I50" s="1030">
        <f>C48*E48*H50</f>
        <v>0</v>
      </c>
      <c r="J50" s="1031"/>
      <c r="K50" s="267"/>
      <c r="L50" s="1226"/>
      <c r="M50" s="1230"/>
      <c r="N50" s="1044" t="s">
        <v>465</v>
      </c>
      <c r="O50" s="1235"/>
      <c r="P50" s="1234"/>
      <c r="Q50" s="1229"/>
      <c r="R50" s="1028" t="s">
        <v>458</v>
      </c>
      <c r="S50" s="1043">
        <f>H50</f>
        <v>0</v>
      </c>
      <c r="T50" s="1030">
        <f>N48*P48*S50</f>
        <v>0</v>
      </c>
      <c r="U50" s="1031"/>
      <c r="V50" s="267"/>
      <c r="W50" s="1226"/>
      <c r="X50" s="1230"/>
      <c r="Y50" s="1044" t="s">
        <v>465</v>
      </c>
      <c r="Z50" s="1235"/>
      <c r="AA50" s="1234"/>
      <c r="AB50" s="1229"/>
      <c r="AC50" s="1028" t="s">
        <v>458</v>
      </c>
      <c r="AD50" s="1043">
        <f>S50</f>
        <v>0</v>
      </c>
      <c r="AE50" s="1030">
        <f>Y48*AA48*AD50</f>
        <v>0</v>
      </c>
      <c r="AF50" s="1031"/>
    </row>
    <row r="51" spans="1:32" ht="12" customHeight="1" x14ac:dyDescent="0.25">
      <c r="A51" s="1226"/>
      <c r="B51" s="1230"/>
      <c r="C51" s="1045"/>
      <c r="D51" s="1235"/>
      <c r="E51" s="1234"/>
      <c r="F51" s="1229"/>
      <c r="G51" s="1028" t="s">
        <v>549</v>
      </c>
      <c r="H51" s="1043">
        <v>0</v>
      </c>
      <c r="I51" s="1030">
        <f>H51*C48</f>
        <v>0</v>
      </c>
      <c r="J51" s="1031"/>
      <c r="K51" s="267"/>
      <c r="L51" s="1226"/>
      <c r="M51" s="1230"/>
      <c r="N51" s="1045"/>
      <c r="O51" s="1235"/>
      <c r="P51" s="1234"/>
      <c r="Q51" s="1229"/>
      <c r="R51" s="1028" t="s">
        <v>549</v>
      </c>
      <c r="S51" s="1043">
        <f>H51</f>
        <v>0</v>
      </c>
      <c r="T51" s="1030">
        <f>S51*N48</f>
        <v>0</v>
      </c>
      <c r="U51" s="1031"/>
      <c r="V51" s="267"/>
      <c r="W51" s="1226"/>
      <c r="X51" s="1230"/>
      <c r="Y51" s="1045"/>
      <c r="Z51" s="1235"/>
      <c r="AA51" s="1234"/>
      <c r="AB51" s="1229"/>
      <c r="AC51" s="1028" t="s">
        <v>549</v>
      </c>
      <c r="AD51" s="1043">
        <f>S51</f>
        <v>0</v>
      </c>
      <c r="AE51" s="1030">
        <f>AD51*Y48</f>
        <v>0</v>
      </c>
      <c r="AF51" s="1031"/>
    </row>
    <row r="52" spans="1:32" ht="12" customHeight="1" x14ac:dyDescent="0.25">
      <c r="A52" s="1226"/>
      <c r="B52" s="1230"/>
      <c r="C52" s="1229" t="s">
        <v>701</v>
      </c>
      <c r="D52" s="1235"/>
      <c r="E52" s="1234"/>
      <c r="F52" s="1229"/>
      <c r="G52" s="1028" t="s">
        <v>460</v>
      </c>
      <c r="H52" s="1043">
        <v>0</v>
      </c>
      <c r="I52" s="1030">
        <f>C48*(D48-2)*H52</f>
        <v>0</v>
      </c>
      <c r="J52" s="1031"/>
      <c r="K52" s="267"/>
      <c r="L52" s="1226"/>
      <c r="M52" s="1230"/>
      <c r="N52" s="1229" t="str">
        <f>C52</f>
        <v>names of travelers?</v>
      </c>
      <c r="O52" s="1235"/>
      <c r="P52" s="1234"/>
      <c r="Q52" s="1229"/>
      <c r="R52" s="1028" t="s">
        <v>460</v>
      </c>
      <c r="S52" s="1043">
        <f>H52</f>
        <v>0</v>
      </c>
      <c r="T52" s="1030">
        <f>N48*(O48-2)*S52</f>
        <v>0</v>
      </c>
      <c r="U52" s="1031"/>
      <c r="V52" s="267"/>
      <c r="W52" s="1226"/>
      <c r="X52" s="1230"/>
      <c r="Y52" s="1229" t="str">
        <f>N52</f>
        <v>names of travelers?</v>
      </c>
      <c r="Z52" s="1235"/>
      <c r="AA52" s="1234"/>
      <c r="AB52" s="1229"/>
      <c r="AC52" s="1028" t="s">
        <v>460</v>
      </c>
      <c r="AD52" s="1043">
        <f>S52</f>
        <v>0</v>
      </c>
      <c r="AE52" s="1030">
        <f>Y48*(Z48-2)*AD52</f>
        <v>0</v>
      </c>
      <c r="AF52" s="1031"/>
    </row>
    <row r="53" spans="1:32" ht="12" customHeight="1" thickBot="1" x14ac:dyDescent="0.3">
      <c r="A53" s="1226"/>
      <c r="B53" s="1230"/>
      <c r="C53" s="1229"/>
      <c r="D53" s="1235"/>
      <c r="E53" s="1234"/>
      <c r="F53" s="1229"/>
      <c r="G53" s="1034" t="s">
        <v>459</v>
      </c>
      <c r="H53" s="1030">
        <f>H52*0.75</f>
        <v>0</v>
      </c>
      <c r="I53" s="1030">
        <f>C48*2*H53</f>
        <v>0</v>
      </c>
      <c r="J53" s="1031"/>
      <c r="K53" s="267"/>
      <c r="L53" s="1226"/>
      <c r="M53" s="1230"/>
      <c r="N53" s="1229"/>
      <c r="O53" s="1235"/>
      <c r="P53" s="1234"/>
      <c r="Q53" s="1229"/>
      <c r="R53" s="1034" t="s">
        <v>459</v>
      </c>
      <c r="S53" s="1030">
        <f>S52*0.75</f>
        <v>0</v>
      </c>
      <c r="T53" s="1030">
        <f>N48*2*S53</f>
        <v>0</v>
      </c>
      <c r="U53" s="1031"/>
      <c r="V53" s="267"/>
      <c r="W53" s="1226"/>
      <c r="X53" s="1230"/>
      <c r="Y53" s="1229"/>
      <c r="Z53" s="1235"/>
      <c r="AA53" s="1234"/>
      <c r="AB53" s="1229"/>
      <c r="AC53" s="1034" t="s">
        <v>459</v>
      </c>
      <c r="AD53" s="1030">
        <f>AD52*0.75</f>
        <v>0</v>
      </c>
      <c r="AE53" s="1030">
        <f>Y48*2*AD53</f>
        <v>0</v>
      </c>
      <c r="AF53" s="1031"/>
    </row>
    <row r="54" spans="1:32" ht="12" customHeight="1" thickBot="1" x14ac:dyDescent="0.3">
      <c r="A54" s="1227"/>
      <c r="B54" s="1231"/>
      <c r="C54" s="1238"/>
      <c r="D54" s="1236"/>
      <c r="E54" s="1237"/>
      <c r="F54" s="1238"/>
      <c r="G54" s="1239" t="s">
        <v>539</v>
      </c>
      <c r="H54" s="1240"/>
      <c r="I54" s="1035">
        <f>SUM(I48:I53)*A48</f>
        <v>0</v>
      </c>
      <c r="J54" s="1036">
        <f>I54*'F&amp;ARatesCalc'!J13</f>
        <v>0</v>
      </c>
      <c r="K54" s="267"/>
      <c r="L54" s="1227"/>
      <c r="M54" s="1231"/>
      <c r="N54" s="1238"/>
      <c r="O54" s="1236"/>
      <c r="P54" s="1237"/>
      <c r="Q54" s="1238"/>
      <c r="R54" s="1239" t="s">
        <v>539</v>
      </c>
      <c r="S54" s="1240"/>
      <c r="T54" s="1035">
        <f>SUM(T48:T53)*L48</f>
        <v>0</v>
      </c>
      <c r="U54" s="1036">
        <f>T54*'F&amp;ARatesCalc'!J19</f>
        <v>0</v>
      </c>
      <c r="V54" s="267"/>
      <c r="W54" s="1227"/>
      <c r="X54" s="1231"/>
      <c r="Y54" s="1238"/>
      <c r="Z54" s="1236"/>
      <c r="AA54" s="1237"/>
      <c r="AB54" s="1238"/>
      <c r="AC54" s="1239" t="s">
        <v>539</v>
      </c>
      <c r="AD54" s="1240"/>
      <c r="AE54" s="1035">
        <f>SUM(AE48:AE53)*W48</f>
        <v>0</v>
      </c>
      <c r="AF54" s="1036">
        <f>AE54*'F&amp;ARatesCalc'!J25</f>
        <v>0</v>
      </c>
    </row>
    <row r="55" spans="1:32" ht="7.5" customHeight="1" thickBot="1" x14ac:dyDescent="0.3">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row>
    <row r="56" spans="1:32" ht="15.75" thickBot="1" x14ac:dyDescent="0.3">
      <c r="A56" s="267"/>
      <c r="B56" s="267"/>
      <c r="C56" s="267"/>
      <c r="D56" s="267"/>
      <c r="E56" s="267"/>
      <c r="F56" s="267"/>
      <c r="G56" s="267"/>
      <c r="H56" s="1046" t="s">
        <v>471</v>
      </c>
      <c r="I56" s="1047">
        <f>I46+I54</f>
        <v>0</v>
      </c>
      <c r="J56" s="1047">
        <f>J46+J54</f>
        <v>0</v>
      </c>
      <c r="K56" s="267"/>
      <c r="L56" s="267"/>
      <c r="M56" s="267"/>
      <c r="N56" s="267"/>
      <c r="O56" s="267"/>
      <c r="P56" s="267"/>
      <c r="Q56" s="267"/>
      <c r="R56" s="267"/>
      <c r="S56" s="1046" t="s">
        <v>471</v>
      </c>
      <c r="T56" s="1047">
        <f>T46+T54</f>
        <v>0</v>
      </c>
      <c r="U56" s="1047">
        <f>U46+U54</f>
        <v>0</v>
      </c>
      <c r="V56" s="267"/>
      <c r="W56" s="267"/>
      <c r="X56" s="267"/>
      <c r="Y56" s="267"/>
      <c r="Z56" s="267"/>
      <c r="AA56" s="267"/>
      <c r="AB56" s="267"/>
      <c r="AC56" s="267"/>
      <c r="AD56" s="1046" t="s">
        <v>471</v>
      </c>
      <c r="AE56" s="1047">
        <f>AE46+AE54</f>
        <v>0</v>
      </c>
      <c r="AF56" s="1047">
        <f>AF46+AF54</f>
        <v>0</v>
      </c>
    </row>
  </sheetData>
  <sheetProtection algorithmName="SHA-512" hashValue="fwCLiK+bl+xSEWjnR1FrZTb0tyHsNMkNKhWQQ1qZMACi7pDt2jZ+7W7hHOSkA+IKvEvUvPxpLU0qeAEdOZT+9Q==" saltValue="/0x40DU46X6ExJ2uuWjvrw==" spinCount="100000" sheet="1" objects="1" scenarios="1"/>
  <mergeCells count="150">
    <mergeCell ref="L48:L54"/>
    <mergeCell ref="M48:M54"/>
    <mergeCell ref="N48:N49"/>
    <mergeCell ref="O48:O54"/>
    <mergeCell ref="P48:P54"/>
    <mergeCell ref="Q28:Q34"/>
    <mergeCell ref="N32:N34"/>
    <mergeCell ref="R34:S34"/>
    <mergeCell ref="L40:L46"/>
    <mergeCell ref="M40:M46"/>
    <mergeCell ref="N40:N41"/>
    <mergeCell ref="O40:O46"/>
    <mergeCell ref="P40:P46"/>
    <mergeCell ref="Q40:Q46"/>
    <mergeCell ref="N44:N46"/>
    <mergeCell ref="R46:S46"/>
    <mergeCell ref="L28:L34"/>
    <mergeCell ref="M28:M34"/>
    <mergeCell ref="N28:N29"/>
    <mergeCell ref="O28:O34"/>
    <mergeCell ref="P28:P34"/>
    <mergeCell ref="O7:P8"/>
    <mergeCell ref="Q7:Q8"/>
    <mergeCell ref="R7:S7"/>
    <mergeCell ref="T7:U7"/>
    <mergeCell ref="R8:S8"/>
    <mergeCell ref="T8:U8"/>
    <mergeCell ref="R6:S6"/>
    <mergeCell ref="Q48:Q54"/>
    <mergeCell ref="N52:N54"/>
    <mergeCell ref="R54:S54"/>
    <mergeCell ref="T6:U6"/>
    <mergeCell ref="A28:A34"/>
    <mergeCell ref="B28:B34"/>
    <mergeCell ref="C28:C29"/>
    <mergeCell ref="D12:D18"/>
    <mergeCell ref="C12:C13"/>
    <mergeCell ref="C32:C34"/>
    <mergeCell ref="D28:D34"/>
    <mergeCell ref="A20:A26"/>
    <mergeCell ref="B20:B26"/>
    <mergeCell ref="C20:C21"/>
    <mergeCell ref="D20:D26"/>
    <mergeCell ref="C24:C26"/>
    <mergeCell ref="A12:A18"/>
    <mergeCell ref="B12:B18"/>
    <mergeCell ref="C16:C18"/>
    <mergeCell ref="L2:U2"/>
    <mergeCell ref="Q12:Q18"/>
    <mergeCell ref="N16:N18"/>
    <mergeCell ref="R18:S18"/>
    <mergeCell ref="L20:L26"/>
    <mergeCell ref="E40:E46"/>
    <mergeCell ref="F20:F26"/>
    <mergeCell ref="F40:F46"/>
    <mergeCell ref="G18:H18"/>
    <mergeCell ref="L3:U5"/>
    <mergeCell ref="A4:F4"/>
    <mergeCell ref="A5:E5"/>
    <mergeCell ref="M20:M26"/>
    <mergeCell ref="N20:N21"/>
    <mergeCell ref="O20:O26"/>
    <mergeCell ref="P20:P26"/>
    <mergeCell ref="Q20:Q26"/>
    <mergeCell ref="N24:N26"/>
    <mergeCell ref="R26:S26"/>
    <mergeCell ref="L12:L18"/>
    <mergeCell ref="M12:M18"/>
    <mergeCell ref="N12:N13"/>
    <mergeCell ref="O12:O18"/>
    <mergeCell ref="P12:P18"/>
    <mergeCell ref="G54:H54"/>
    <mergeCell ref="E28:E34"/>
    <mergeCell ref="I6:J6"/>
    <mergeCell ref="I7:J7"/>
    <mergeCell ref="I8:J8"/>
    <mergeCell ref="G26:H26"/>
    <mergeCell ref="D7:E8"/>
    <mergeCell ref="F7:F8"/>
    <mergeCell ref="G6:H6"/>
    <mergeCell ref="G7:H7"/>
    <mergeCell ref="G8:H8"/>
    <mergeCell ref="G46:H46"/>
    <mergeCell ref="G34:H34"/>
    <mergeCell ref="E12:E18"/>
    <mergeCell ref="F12:F18"/>
    <mergeCell ref="E20:E26"/>
    <mergeCell ref="F28:F34"/>
    <mergeCell ref="E48:E54"/>
    <mergeCell ref="F48:F54"/>
    <mergeCell ref="A48:A54"/>
    <mergeCell ref="B48:B54"/>
    <mergeCell ref="C48:C49"/>
    <mergeCell ref="D48:D54"/>
    <mergeCell ref="C44:C46"/>
    <mergeCell ref="C52:C54"/>
    <mergeCell ref="A40:A46"/>
    <mergeCell ref="B40:B46"/>
    <mergeCell ref="C40:C41"/>
    <mergeCell ref="D40:D46"/>
    <mergeCell ref="W2:AF2"/>
    <mergeCell ref="W3:AF5"/>
    <mergeCell ref="AC6:AD6"/>
    <mergeCell ref="AE6:AF6"/>
    <mergeCell ref="Z7:AA8"/>
    <mergeCell ref="AB7:AB8"/>
    <mergeCell ref="AC7:AD7"/>
    <mergeCell ref="AE7:AF7"/>
    <mergeCell ref="AC8:AD8"/>
    <mergeCell ref="AE8:AF8"/>
    <mergeCell ref="W12:W18"/>
    <mergeCell ref="X12:X18"/>
    <mergeCell ref="Y12:Y13"/>
    <mergeCell ref="Z12:Z18"/>
    <mergeCell ref="AA12:AA18"/>
    <mergeCell ref="AB12:AB18"/>
    <mergeCell ref="Y16:Y18"/>
    <mergeCell ref="AC18:AD18"/>
    <mergeCell ref="W20:W26"/>
    <mergeCell ref="X20:X26"/>
    <mergeCell ref="Y20:Y21"/>
    <mergeCell ref="Z20:Z26"/>
    <mergeCell ref="AA20:AA26"/>
    <mergeCell ref="AB20:AB26"/>
    <mergeCell ref="Y24:Y26"/>
    <mergeCell ref="AC26:AD26"/>
    <mergeCell ref="W48:W54"/>
    <mergeCell ref="X48:X54"/>
    <mergeCell ref="Y48:Y49"/>
    <mergeCell ref="Z48:Z54"/>
    <mergeCell ref="AA48:AA54"/>
    <mergeCell ref="AB48:AB54"/>
    <mergeCell ref="Y52:Y54"/>
    <mergeCell ref="AC54:AD54"/>
    <mergeCell ref="W28:W34"/>
    <mergeCell ref="X28:X34"/>
    <mergeCell ref="Y28:Y29"/>
    <mergeCell ref="Z28:Z34"/>
    <mergeCell ref="AA28:AA34"/>
    <mergeCell ref="AB28:AB34"/>
    <mergeCell ref="Y32:Y34"/>
    <mergeCell ref="AC34:AD34"/>
    <mergeCell ref="W40:W46"/>
    <mergeCell ref="X40:X46"/>
    <mergeCell ref="Y40:Y41"/>
    <mergeCell ref="Z40:Z46"/>
    <mergeCell ref="AA40:AA46"/>
    <mergeCell ref="AB40:AB46"/>
    <mergeCell ref="Y44:Y46"/>
    <mergeCell ref="AC46:AD46"/>
  </mergeCells>
  <hyperlinks>
    <hyperlink ref="A4" r:id="rId1" display="https://www.gsa.gov/travel/plan-book/per-diem-rates" xr:uid="{00000000-0004-0000-0800-000000000000}"/>
    <hyperlink ref="A5" r:id="rId2" display="https://aoprals.state.gov/web920/per_diem.asp" xr:uid="{00000000-0004-0000-0800-000001000000}"/>
  </hyperlinks>
  <pageMargins left="0.7" right="0.7" top="0.75" bottom="0.75" header="0.3" footer="0.3"/>
  <pageSetup orientation="portrait" horizontalDpi="1200" verticalDpi="1200"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Instructions</vt:lpstr>
      <vt:lpstr>BudgetSummarySimplified</vt:lpstr>
      <vt:lpstr>BudgetSummaryDetailed</vt:lpstr>
      <vt:lpstr>Personnel</vt:lpstr>
      <vt:lpstr>PersonCalcYr1</vt:lpstr>
      <vt:lpstr>PersonCalcYr2</vt:lpstr>
      <vt:lpstr>PersonCalcYr3</vt:lpstr>
      <vt:lpstr>OtherDirectCosts</vt:lpstr>
      <vt:lpstr>TravelEstimate(optional)</vt:lpstr>
      <vt:lpstr>F&amp;ARatesCalc</vt:lpstr>
      <vt:lpstr>SummerSalaryResource</vt:lpstr>
      <vt:lpstr>GradPostDocDeptPayRates</vt:lpstr>
      <vt:lpstr>Rate Tables</vt:lpstr>
      <vt:lpstr>Lookup Tables</vt:lpstr>
      <vt:lpstr>Sheet1</vt:lpstr>
      <vt:lpstr>Oct</vt:lpstr>
      <vt:lpstr>PositionType</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Siemers, Jenny L.</dc:creator>
  <cp:lastModifiedBy>Siemers, Jenny L.</cp:lastModifiedBy>
  <cp:lastPrinted>2021-10-19T16:51:11Z</cp:lastPrinted>
  <dcterms:created xsi:type="dcterms:W3CDTF">2017-08-03T20:38:43Z</dcterms:created>
  <dcterms:modified xsi:type="dcterms:W3CDTF">2022-11-10T18:26:06Z</dcterms:modified>
</cp:coreProperties>
</file>